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65" windowHeight="7050" tabRatio="929"/>
  </bookViews>
  <sheets>
    <sheet name="Interactive Project Filter" sheetId="63" r:id="rId1"/>
    <sheet name="Data" sheetId="1" r:id="rId2"/>
  </sheets>
  <externalReferences>
    <externalReference r:id="rId3"/>
  </externalReferences>
  <definedNames>
    <definedName name="_xlcn.WorksheetConnection_2016CoalDatabase10282016.xlsxapproval1" hidden="1">approval</definedName>
    <definedName name="_xlcn.WorksheetConnection_2016CoalDatabase10282016.xlsxCompletedProjects1" hidden="1">[1]!CompletedProjects[#Data]</definedName>
    <definedName name="_xlcn.WorksheetConnection_2016CoalDatabase10282016.xlsxcountries1" hidden="1">countries</definedName>
    <definedName name="_xlcn.WorksheetConnection_2016CoalDatabase10282016.xlsxPending1" hidden="1">[1]!Pending[#Data]</definedName>
    <definedName name="_xlcn.WorksheetConnection_Table11" hidden="1">Table1[]</definedName>
    <definedName name="CoalvsREGW" hidden="1">approval</definedName>
    <definedName name="G" hidden="1">countries</definedName>
    <definedName name="Institutionnames" hidden="1">approval</definedName>
    <definedName name="x" hidden="1">Table1[]</definedName>
  </definedNames>
  <calcPr calcId="145621"/>
  <pivotCaches>
    <pivotCache cacheId="86" r:id="rId4"/>
  </pivotCaches>
</workbook>
</file>

<file path=xl/calcChain.xml><?xml version="1.0" encoding="utf-8"?>
<calcChain xmlns="http://schemas.openxmlformats.org/spreadsheetml/2006/main">
  <c r="V438" i="1" l="1"/>
  <c r="V422" i="1"/>
  <c r="V406" i="1"/>
  <c r="V390" i="1"/>
  <c r="V374" i="1"/>
  <c r="V358" i="1"/>
  <c r="V342" i="1"/>
  <c r="V326" i="1"/>
  <c r="V310" i="1"/>
  <c r="V294" i="1"/>
  <c r="V278" i="1"/>
  <c r="V262" i="1"/>
  <c r="V252" i="1"/>
  <c r="V246" i="1"/>
  <c r="V241" i="1"/>
  <c r="V236" i="1"/>
  <c r="V230" i="1"/>
  <c r="V225" i="1"/>
  <c r="V221" i="1"/>
  <c r="V217" i="1"/>
  <c r="V213" i="1"/>
  <c r="V209" i="1"/>
  <c r="V205" i="1"/>
  <c r="V201" i="1"/>
  <c r="V197" i="1"/>
  <c r="V193" i="1"/>
  <c r="V189" i="1"/>
  <c r="V185" i="1"/>
  <c r="V181" i="1"/>
  <c r="V177" i="1"/>
  <c r="V173" i="1"/>
  <c r="V169" i="1"/>
  <c r="V165" i="1"/>
  <c r="V161" i="1"/>
  <c r="V157" i="1"/>
  <c r="V153" i="1"/>
  <c r="V149" i="1"/>
  <c r="V145" i="1"/>
  <c r="V141" i="1"/>
  <c r="V137" i="1"/>
  <c r="V133" i="1"/>
  <c r="V129" i="1"/>
  <c r="V125" i="1"/>
  <c r="V121" i="1"/>
  <c r="V117" i="1"/>
  <c r="V113" i="1"/>
  <c r="V109" i="1"/>
  <c r="V105" i="1"/>
  <c r="V101" i="1"/>
  <c r="V97" i="1"/>
  <c r="V93" i="1"/>
  <c r="V89" i="1"/>
  <c r="V85" i="1"/>
  <c r="V81" i="1"/>
  <c r="V77" i="1"/>
  <c r="V73" i="1"/>
  <c r="V69" i="1"/>
  <c r="V65" i="1"/>
  <c r="V61" i="1"/>
  <c r="V57" i="1"/>
  <c r="V53" i="1"/>
  <c r="V49" i="1"/>
  <c r="V45" i="1"/>
  <c r="V41" i="1"/>
  <c r="V37" i="1"/>
  <c r="V33" i="1"/>
  <c r="V29" i="1"/>
  <c r="V25" i="1"/>
  <c r="V21" i="1"/>
  <c r="V17" i="1"/>
  <c r="V13" i="1"/>
  <c r="V9" i="1"/>
  <c r="V5" i="1"/>
  <c r="U895" i="1"/>
  <c r="V895" i="1" s="1"/>
  <c r="U894" i="1"/>
  <c r="V894" i="1" s="1"/>
  <c r="U893" i="1"/>
  <c r="V893" i="1" s="1"/>
  <c r="U892" i="1"/>
  <c r="V892" i="1" s="1"/>
  <c r="U891" i="1"/>
  <c r="V891" i="1" s="1"/>
  <c r="U890" i="1"/>
  <c r="V890" i="1" s="1"/>
  <c r="U889" i="1"/>
  <c r="V889" i="1" s="1"/>
  <c r="U888" i="1"/>
  <c r="V888" i="1" s="1"/>
  <c r="U887" i="1"/>
  <c r="V887" i="1" s="1"/>
  <c r="U886" i="1"/>
  <c r="V886" i="1" s="1"/>
  <c r="U885" i="1"/>
  <c r="V885" i="1" s="1"/>
  <c r="U884" i="1"/>
  <c r="V884" i="1" s="1"/>
  <c r="U883" i="1"/>
  <c r="V883" i="1" s="1"/>
  <c r="U882" i="1"/>
  <c r="V882" i="1" s="1"/>
  <c r="U881" i="1"/>
  <c r="V881" i="1" s="1"/>
  <c r="U880" i="1"/>
  <c r="V880" i="1" s="1"/>
  <c r="U879" i="1"/>
  <c r="V879" i="1" s="1"/>
  <c r="U878" i="1"/>
  <c r="V878" i="1" s="1"/>
  <c r="U877" i="1"/>
  <c r="V877" i="1" s="1"/>
  <c r="U876" i="1"/>
  <c r="V876" i="1" s="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U421" i="1"/>
  <c r="V421" i="1" s="1"/>
  <c r="U420" i="1"/>
  <c r="V420" i="1" s="1"/>
  <c r="U419" i="1"/>
  <c r="V419" i="1" s="1"/>
  <c r="U418" i="1"/>
  <c r="V418" i="1" s="1"/>
  <c r="U417" i="1"/>
  <c r="V417" i="1" s="1"/>
  <c r="U416" i="1"/>
  <c r="V416" i="1" s="1"/>
  <c r="U415" i="1"/>
  <c r="V415" i="1" s="1"/>
  <c r="U414" i="1"/>
  <c r="V414" i="1" s="1"/>
  <c r="U413" i="1"/>
  <c r="V413" i="1" s="1"/>
  <c r="U412" i="1"/>
  <c r="V412" i="1" s="1"/>
  <c r="U411" i="1"/>
  <c r="V411" i="1" s="1"/>
  <c r="U410" i="1"/>
  <c r="V410" i="1" s="1"/>
  <c r="U409" i="1"/>
  <c r="V409" i="1" s="1"/>
  <c r="U408" i="1"/>
  <c r="V408" i="1" s="1"/>
  <c r="U407" i="1"/>
  <c r="V407" i="1" s="1"/>
  <c r="U406" i="1"/>
  <c r="U405" i="1"/>
  <c r="V405" i="1" s="1"/>
  <c r="U404" i="1"/>
  <c r="V404" i="1" s="1"/>
  <c r="U403" i="1"/>
  <c r="V403" i="1" s="1"/>
  <c r="U402" i="1"/>
  <c r="V402" i="1" s="1"/>
  <c r="U401" i="1"/>
  <c r="V401" i="1" s="1"/>
  <c r="U400" i="1"/>
  <c r="V400" i="1" s="1"/>
  <c r="U399" i="1"/>
  <c r="V399" i="1" s="1"/>
  <c r="U398" i="1"/>
  <c r="V398" i="1" s="1"/>
  <c r="U397" i="1"/>
  <c r="V397" i="1" s="1"/>
  <c r="U396" i="1"/>
  <c r="V396" i="1" s="1"/>
  <c r="U395" i="1"/>
  <c r="V395" i="1" s="1"/>
  <c r="U394" i="1"/>
  <c r="V394" i="1" s="1"/>
  <c r="U393" i="1"/>
  <c r="V393" i="1" s="1"/>
  <c r="U392" i="1"/>
  <c r="V392" i="1" s="1"/>
  <c r="U391" i="1"/>
  <c r="V391" i="1" s="1"/>
  <c r="U390" i="1"/>
  <c r="U389" i="1"/>
  <c r="V389" i="1" s="1"/>
  <c r="U388" i="1"/>
  <c r="V388"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U360" i="1"/>
  <c r="V360" i="1" s="1"/>
  <c r="U359" i="1"/>
  <c r="V359" i="1" s="1"/>
  <c r="U358" i="1"/>
  <c r="U357" i="1"/>
  <c r="V357" i="1" s="1"/>
  <c r="U356" i="1"/>
  <c r="V356" i="1" s="1"/>
  <c r="U355" i="1"/>
  <c r="V355" i="1" s="1"/>
  <c r="U354" i="1"/>
  <c r="V354" i="1" s="1"/>
  <c r="U353" i="1"/>
  <c r="V353" i="1" s="1"/>
  <c r="U352" i="1"/>
  <c r="V352" i="1" s="1"/>
  <c r="U351" i="1"/>
  <c r="V351" i="1" s="1"/>
  <c r="U350" i="1"/>
  <c r="V350" i="1" s="1"/>
  <c r="U349" i="1"/>
  <c r="V349" i="1" s="1"/>
  <c r="U348" i="1"/>
  <c r="V348" i="1" s="1"/>
  <c r="U347" i="1"/>
  <c r="V347" i="1" s="1"/>
  <c r="U346" i="1"/>
  <c r="V346" i="1" s="1"/>
  <c r="U345" i="1"/>
  <c r="V345" i="1" s="1"/>
  <c r="U344" i="1"/>
  <c r="V344" i="1" s="1"/>
  <c r="U343" i="1"/>
  <c r="V343" i="1" s="1"/>
  <c r="U342" i="1"/>
  <c r="U341" i="1"/>
  <c r="V341" i="1" s="1"/>
  <c r="U340" i="1"/>
  <c r="V340" i="1" s="1"/>
  <c r="U339" i="1"/>
  <c r="V339" i="1" s="1"/>
  <c r="U338" i="1"/>
  <c r="V338" i="1" s="1"/>
  <c r="U337" i="1"/>
  <c r="V337" i="1" s="1"/>
  <c r="U336" i="1"/>
  <c r="V336" i="1" s="1"/>
  <c r="U335" i="1"/>
  <c r="V335" i="1" s="1"/>
  <c r="U334" i="1"/>
  <c r="V334" i="1" s="1"/>
  <c r="U333" i="1"/>
  <c r="V333" i="1" s="1"/>
  <c r="U332" i="1"/>
  <c r="V332" i="1" s="1"/>
  <c r="U331" i="1"/>
  <c r="V331" i="1" s="1"/>
  <c r="U330" i="1"/>
  <c r="V330" i="1" s="1"/>
  <c r="U329" i="1"/>
  <c r="V329" i="1" s="1"/>
  <c r="U328" i="1"/>
  <c r="V328" i="1" s="1"/>
  <c r="U327" i="1"/>
  <c r="V327" i="1" s="1"/>
  <c r="U326" i="1"/>
  <c r="U325" i="1"/>
  <c r="V325" i="1" s="1"/>
  <c r="U324" i="1"/>
  <c r="V324" i="1" s="1"/>
  <c r="U323" i="1"/>
  <c r="V323"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U309" i="1"/>
  <c r="V309" i="1" s="1"/>
  <c r="U308" i="1"/>
  <c r="V308" i="1" s="1"/>
  <c r="U307" i="1"/>
  <c r="V307" i="1" s="1"/>
  <c r="U306" i="1"/>
  <c r="V306" i="1" s="1"/>
  <c r="U305" i="1"/>
  <c r="V305" i="1" s="1"/>
  <c r="U304" i="1"/>
  <c r="V304" i="1" s="1"/>
  <c r="U303" i="1"/>
  <c r="V303" i="1" s="1"/>
  <c r="U302" i="1"/>
  <c r="V302" i="1" s="1"/>
  <c r="U301" i="1"/>
  <c r="V301" i="1" s="1"/>
  <c r="U300" i="1"/>
  <c r="V300" i="1" s="1"/>
  <c r="U299" i="1"/>
  <c r="V299" i="1" s="1"/>
  <c r="U298" i="1"/>
  <c r="V298" i="1" s="1"/>
  <c r="U297" i="1"/>
  <c r="V297" i="1" s="1"/>
  <c r="U296" i="1"/>
  <c r="V296" i="1" s="1"/>
  <c r="U295" i="1"/>
  <c r="V295" i="1" s="1"/>
  <c r="U294" i="1"/>
  <c r="U293" i="1"/>
  <c r="V293" i="1" s="1"/>
  <c r="U292" i="1"/>
  <c r="V292" i="1" s="1"/>
  <c r="U291" i="1"/>
  <c r="V291" i="1" s="1"/>
  <c r="U290" i="1"/>
  <c r="V290" i="1" s="1"/>
  <c r="U289" i="1"/>
  <c r="V289" i="1" s="1"/>
  <c r="U288" i="1"/>
  <c r="V288" i="1" s="1"/>
  <c r="U287" i="1"/>
  <c r="V287" i="1" s="1"/>
  <c r="U286" i="1"/>
  <c r="V286" i="1" s="1"/>
  <c r="U285" i="1"/>
  <c r="V285" i="1" s="1"/>
  <c r="U284" i="1"/>
  <c r="V284" i="1" s="1"/>
  <c r="U283" i="1"/>
  <c r="V283" i="1" s="1"/>
  <c r="U282" i="1"/>
  <c r="V282" i="1" s="1"/>
  <c r="U281" i="1"/>
  <c r="V281" i="1" s="1"/>
  <c r="U280" i="1"/>
  <c r="V280" i="1" s="1"/>
  <c r="U279" i="1"/>
  <c r="V279" i="1" s="1"/>
  <c r="U278" i="1"/>
  <c r="U277" i="1"/>
  <c r="V277" i="1" s="1"/>
  <c r="U276" i="1"/>
  <c r="V276" i="1" s="1"/>
  <c r="U275" i="1"/>
  <c r="V275" i="1" s="1"/>
  <c r="U274" i="1"/>
  <c r="V274" i="1" s="1"/>
  <c r="U273" i="1"/>
  <c r="V273" i="1" s="1"/>
  <c r="U272" i="1"/>
  <c r="V272" i="1" s="1"/>
  <c r="U271" i="1"/>
  <c r="V271" i="1" s="1"/>
  <c r="U270" i="1"/>
  <c r="V270" i="1" s="1"/>
  <c r="U269" i="1"/>
  <c r="V269" i="1" s="1"/>
  <c r="U268" i="1"/>
  <c r="V268" i="1" s="1"/>
  <c r="U267" i="1"/>
  <c r="V267" i="1" s="1"/>
  <c r="U266" i="1"/>
  <c r="V266" i="1" s="1"/>
  <c r="U265" i="1"/>
  <c r="V265" i="1" s="1"/>
  <c r="U264" i="1"/>
  <c r="V264" i="1" s="1"/>
  <c r="U263" i="1"/>
  <c r="V263" i="1" s="1"/>
  <c r="U262" i="1"/>
  <c r="U261" i="1"/>
  <c r="V261" i="1" s="1"/>
  <c r="U260" i="1"/>
  <c r="V260" i="1" s="1"/>
  <c r="U259" i="1"/>
  <c r="V259" i="1" s="1"/>
  <c r="U258" i="1"/>
  <c r="V258" i="1" s="1"/>
  <c r="U257" i="1"/>
  <c r="V257" i="1" s="1"/>
  <c r="U256" i="1"/>
  <c r="V256" i="1" s="1"/>
  <c r="U255" i="1"/>
  <c r="V255" i="1" s="1"/>
  <c r="U254" i="1"/>
  <c r="V254" i="1" s="1"/>
  <c r="U253" i="1"/>
  <c r="V253" i="1" s="1"/>
  <c r="U252" i="1"/>
  <c r="U251" i="1"/>
  <c r="V251" i="1" s="1"/>
  <c r="U250" i="1"/>
  <c r="V250" i="1" s="1"/>
  <c r="U249" i="1"/>
  <c r="V249" i="1" s="1"/>
  <c r="U248" i="1"/>
  <c r="V248" i="1" s="1"/>
  <c r="U247" i="1"/>
  <c r="V247" i="1" s="1"/>
  <c r="U246" i="1"/>
  <c r="U245" i="1"/>
  <c r="V245" i="1" s="1"/>
  <c r="U244" i="1"/>
  <c r="V244" i="1" s="1"/>
  <c r="U243" i="1"/>
  <c r="V243" i="1" s="1"/>
  <c r="U242" i="1"/>
  <c r="V242" i="1" s="1"/>
  <c r="U241" i="1"/>
  <c r="U240" i="1"/>
  <c r="V240" i="1" s="1"/>
  <c r="U239" i="1"/>
  <c r="V239" i="1" s="1"/>
  <c r="U238" i="1"/>
  <c r="V238" i="1" s="1"/>
  <c r="U237" i="1"/>
  <c r="V237" i="1" s="1"/>
  <c r="U236" i="1"/>
  <c r="U235" i="1"/>
  <c r="V235" i="1" s="1"/>
  <c r="U234" i="1"/>
  <c r="V234" i="1" s="1"/>
  <c r="U233" i="1"/>
  <c r="V233" i="1" s="1"/>
  <c r="U232" i="1"/>
  <c r="V232" i="1" s="1"/>
  <c r="U231" i="1"/>
  <c r="V231" i="1" s="1"/>
  <c r="U230" i="1"/>
  <c r="U229" i="1"/>
  <c r="V229" i="1" s="1"/>
  <c r="U228" i="1"/>
  <c r="V228" i="1" s="1"/>
  <c r="U227" i="1"/>
  <c r="V227" i="1" s="1"/>
  <c r="U226" i="1"/>
  <c r="V226" i="1" s="1"/>
  <c r="U225" i="1"/>
  <c r="U224" i="1"/>
  <c r="V224" i="1" s="1"/>
  <c r="U223" i="1"/>
  <c r="V223" i="1" s="1"/>
  <c r="U222" i="1"/>
  <c r="V222" i="1" s="1"/>
  <c r="U221" i="1"/>
  <c r="U220" i="1"/>
  <c r="V220" i="1" s="1"/>
  <c r="U219" i="1"/>
  <c r="V219" i="1" s="1"/>
  <c r="U218" i="1"/>
  <c r="V218" i="1" s="1"/>
  <c r="U217" i="1"/>
  <c r="U216" i="1"/>
  <c r="V216" i="1" s="1"/>
  <c r="U215" i="1"/>
  <c r="V215" i="1" s="1"/>
  <c r="U214" i="1"/>
  <c r="V214" i="1" s="1"/>
  <c r="U213" i="1"/>
  <c r="U212" i="1"/>
  <c r="V212" i="1" s="1"/>
  <c r="U211" i="1"/>
  <c r="V211" i="1" s="1"/>
  <c r="U210" i="1"/>
  <c r="V210" i="1" s="1"/>
  <c r="U209" i="1"/>
  <c r="U208" i="1"/>
  <c r="V208" i="1" s="1"/>
  <c r="U207" i="1"/>
  <c r="V207" i="1" s="1"/>
  <c r="U206" i="1"/>
  <c r="V206" i="1" s="1"/>
  <c r="U205" i="1"/>
  <c r="U204" i="1"/>
  <c r="V204" i="1" s="1"/>
  <c r="U203" i="1"/>
  <c r="V203" i="1" s="1"/>
  <c r="U202" i="1"/>
  <c r="V202" i="1" s="1"/>
  <c r="U201" i="1"/>
  <c r="U200" i="1"/>
  <c r="V200" i="1" s="1"/>
  <c r="U199" i="1"/>
  <c r="V199" i="1" s="1"/>
  <c r="U198" i="1"/>
  <c r="V198" i="1" s="1"/>
  <c r="U197" i="1"/>
  <c r="U196" i="1"/>
  <c r="V196" i="1" s="1"/>
  <c r="U195" i="1"/>
  <c r="V195" i="1" s="1"/>
  <c r="U194" i="1"/>
  <c r="V194" i="1" s="1"/>
  <c r="U193" i="1"/>
  <c r="U192" i="1"/>
  <c r="V192" i="1" s="1"/>
  <c r="U191" i="1"/>
  <c r="V191" i="1" s="1"/>
  <c r="U190" i="1"/>
  <c r="V190" i="1" s="1"/>
  <c r="U189" i="1"/>
  <c r="U188" i="1"/>
  <c r="V188" i="1" s="1"/>
  <c r="U187" i="1"/>
  <c r="V187" i="1" s="1"/>
  <c r="U186" i="1"/>
  <c r="V186" i="1" s="1"/>
  <c r="U185" i="1"/>
  <c r="U184" i="1"/>
  <c r="V184" i="1" s="1"/>
  <c r="U183" i="1"/>
  <c r="V183" i="1" s="1"/>
  <c r="U182" i="1"/>
  <c r="V182" i="1" s="1"/>
  <c r="U181" i="1"/>
  <c r="U180" i="1"/>
  <c r="V180" i="1" s="1"/>
  <c r="U179" i="1"/>
  <c r="V179" i="1" s="1"/>
  <c r="U178" i="1"/>
  <c r="V178" i="1" s="1"/>
  <c r="U177" i="1"/>
  <c r="U176" i="1"/>
  <c r="V176" i="1" s="1"/>
  <c r="U175" i="1"/>
  <c r="V175" i="1" s="1"/>
  <c r="U174" i="1"/>
  <c r="V174" i="1" s="1"/>
  <c r="U173" i="1"/>
  <c r="U172" i="1"/>
  <c r="V172" i="1" s="1"/>
  <c r="U171" i="1"/>
  <c r="V171" i="1" s="1"/>
  <c r="U170" i="1"/>
  <c r="V170" i="1" s="1"/>
  <c r="U169" i="1"/>
  <c r="U168" i="1"/>
  <c r="V168" i="1" s="1"/>
  <c r="U167" i="1"/>
  <c r="V167" i="1" s="1"/>
  <c r="U166" i="1"/>
  <c r="V166" i="1" s="1"/>
  <c r="U165" i="1"/>
  <c r="U164" i="1"/>
  <c r="V164" i="1" s="1"/>
  <c r="U163" i="1"/>
  <c r="V163" i="1" s="1"/>
  <c r="U162" i="1"/>
  <c r="V162" i="1" s="1"/>
  <c r="U161" i="1"/>
  <c r="U160" i="1"/>
  <c r="V160" i="1" s="1"/>
  <c r="U159" i="1"/>
  <c r="V159" i="1" s="1"/>
  <c r="U158" i="1"/>
  <c r="V158" i="1" s="1"/>
  <c r="U157" i="1"/>
  <c r="U156" i="1"/>
  <c r="V156" i="1" s="1"/>
  <c r="U155" i="1"/>
  <c r="V155" i="1" s="1"/>
  <c r="U154" i="1"/>
  <c r="V154" i="1" s="1"/>
  <c r="U153" i="1"/>
  <c r="U152" i="1"/>
  <c r="V152" i="1" s="1"/>
  <c r="U151" i="1"/>
  <c r="V151" i="1" s="1"/>
  <c r="U150" i="1"/>
  <c r="V150" i="1" s="1"/>
  <c r="U149" i="1"/>
  <c r="U148" i="1"/>
  <c r="V148" i="1" s="1"/>
  <c r="U147" i="1"/>
  <c r="V147" i="1" s="1"/>
  <c r="U146" i="1"/>
  <c r="V146" i="1" s="1"/>
  <c r="U145" i="1"/>
  <c r="U144" i="1"/>
  <c r="V144" i="1" s="1"/>
  <c r="U143" i="1"/>
  <c r="V143" i="1" s="1"/>
  <c r="U142" i="1"/>
  <c r="V142" i="1" s="1"/>
  <c r="U141" i="1"/>
  <c r="U140" i="1"/>
  <c r="V140" i="1" s="1"/>
  <c r="U139" i="1"/>
  <c r="V139" i="1" s="1"/>
  <c r="U138" i="1"/>
  <c r="V138" i="1" s="1"/>
  <c r="U137" i="1"/>
  <c r="U136" i="1"/>
  <c r="V136" i="1" s="1"/>
  <c r="U135" i="1"/>
  <c r="V135" i="1" s="1"/>
  <c r="U134" i="1"/>
  <c r="V134" i="1" s="1"/>
  <c r="U133" i="1"/>
  <c r="U132" i="1"/>
  <c r="V132" i="1" s="1"/>
  <c r="U131" i="1"/>
  <c r="V131" i="1" s="1"/>
  <c r="U130" i="1"/>
  <c r="V130" i="1" s="1"/>
  <c r="U129" i="1"/>
  <c r="U128" i="1"/>
  <c r="V128" i="1" s="1"/>
  <c r="U127" i="1"/>
  <c r="V127" i="1" s="1"/>
  <c r="U126" i="1"/>
  <c r="V126" i="1" s="1"/>
  <c r="U125" i="1"/>
  <c r="U124" i="1"/>
  <c r="V124" i="1" s="1"/>
  <c r="U123" i="1"/>
  <c r="V123" i="1" s="1"/>
  <c r="U122" i="1"/>
  <c r="V122" i="1" s="1"/>
  <c r="U121" i="1"/>
  <c r="U120" i="1"/>
  <c r="V120" i="1" s="1"/>
  <c r="U119" i="1"/>
  <c r="V119" i="1" s="1"/>
  <c r="U118" i="1"/>
  <c r="V118" i="1" s="1"/>
  <c r="U117" i="1"/>
  <c r="U116" i="1"/>
  <c r="V116" i="1" s="1"/>
  <c r="U115" i="1"/>
  <c r="V115" i="1" s="1"/>
  <c r="U114" i="1"/>
  <c r="V114" i="1" s="1"/>
  <c r="U113" i="1"/>
  <c r="U112" i="1"/>
  <c r="V112" i="1" s="1"/>
  <c r="U111" i="1"/>
  <c r="V111" i="1" s="1"/>
  <c r="U110" i="1"/>
  <c r="V110" i="1" s="1"/>
  <c r="U109" i="1"/>
  <c r="U108" i="1"/>
  <c r="V108" i="1" s="1"/>
  <c r="U107" i="1"/>
  <c r="V107" i="1" s="1"/>
  <c r="U106" i="1"/>
  <c r="V106" i="1" s="1"/>
  <c r="U105" i="1"/>
  <c r="U104" i="1"/>
  <c r="V104" i="1" s="1"/>
  <c r="U103" i="1"/>
  <c r="V103" i="1" s="1"/>
  <c r="U102" i="1"/>
  <c r="V102" i="1" s="1"/>
  <c r="U101" i="1"/>
  <c r="U100" i="1"/>
  <c r="V100" i="1" s="1"/>
  <c r="U99" i="1"/>
  <c r="V99" i="1" s="1"/>
  <c r="U98" i="1"/>
  <c r="V98" i="1" s="1"/>
  <c r="U97" i="1"/>
  <c r="U96" i="1"/>
  <c r="V96" i="1" s="1"/>
  <c r="U95" i="1"/>
  <c r="V95" i="1" s="1"/>
  <c r="U94" i="1"/>
  <c r="V94" i="1" s="1"/>
  <c r="U93" i="1"/>
  <c r="U92" i="1"/>
  <c r="V92" i="1" s="1"/>
  <c r="U91" i="1"/>
  <c r="V91" i="1" s="1"/>
  <c r="U90" i="1"/>
  <c r="V90" i="1" s="1"/>
  <c r="U89" i="1"/>
  <c r="U88" i="1"/>
  <c r="V88" i="1" s="1"/>
  <c r="U87" i="1"/>
  <c r="V87" i="1" s="1"/>
  <c r="U86" i="1"/>
  <c r="V86" i="1" s="1"/>
  <c r="U85" i="1"/>
  <c r="U84" i="1"/>
  <c r="V84" i="1" s="1"/>
  <c r="U83" i="1"/>
  <c r="V83" i="1" s="1"/>
  <c r="U82" i="1"/>
  <c r="V82" i="1" s="1"/>
  <c r="U81" i="1"/>
  <c r="U80" i="1"/>
  <c r="V80" i="1" s="1"/>
  <c r="U79" i="1"/>
  <c r="V79" i="1" s="1"/>
  <c r="U78" i="1"/>
  <c r="V78" i="1" s="1"/>
  <c r="U77" i="1"/>
  <c r="U76" i="1"/>
  <c r="V76" i="1" s="1"/>
  <c r="U75" i="1"/>
  <c r="V75" i="1" s="1"/>
  <c r="U74" i="1"/>
  <c r="V74" i="1" s="1"/>
  <c r="U73" i="1"/>
  <c r="U72" i="1"/>
  <c r="V72" i="1" s="1"/>
  <c r="U71" i="1"/>
  <c r="V71" i="1" s="1"/>
  <c r="U70" i="1"/>
  <c r="V70" i="1" s="1"/>
  <c r="U69" i="1"/>
  <c r="U68" i="1"/>
  <c r="V68" i="1" s="1"/>
  <c r="U67" i="1"/>
  <c r="V67" i="1" s="1"/>
  <c r="U66" i="1"/>
  <c r="V66" i="1" s="1"/>
  <c r="U65" i="1"/>
  <c r="U64" i="1"/>
  <c r="V64" i="1" s="1"/>
  <c r="U63" i="1"/>
  <c r="V63" i="1" s="1"/>
  <c r="U62" i="1"/>
  <c r="V62" i="1" s="1"/>
  <c r="U61" i="1"/>
  <c r="U60" i="1"/>
  <c r="V60" i="1" s="1"/>
  <c r="U59" i="1"/>
  <c r="V59" i="1" s="1"/>
  <c r="U58" i="1"/>
  <c r="V58" i="1" s="1"/>
  <c r="U57" i="1"/>
  <c r="U56" i="1"/>
  <c r="V56" i="1" s="1"/>
  <c r="U55" i="1"/>
  <c r="V55" i="1" s="1"/>
  <c r="U54" i="1"/>
  <c r="V54" i="1" s="1"/>
  <c r="U53" i="1"/>
  <c r="U52" i="1"/>
  <c r="V52" i="1" s="1"/>
  <c r="U51" i="1"/>
  <c r="V51" i="1" s="1"/>
  <c r="U50" i="1"/>
  <c r="V50" i="1" s="1"/>
  <c r="U49" i="1"/>
  <c r="U48" i="1"/>
  <c r="V48" i="1" s="1"/>
  <c r="U47" i="1"/>
  <c r="V47" i="1" s="1"/>
  <c r="U46" i="1"/>
  <c r="V46" i="1" s="1"/>
  <c r="U45" i="1"/>
  <c r="U44" i="1"/>
  <c r="V44" i="1" s="1"/>
  <c r="U43" i="1"/>
  <c r="V43" i="1" s="1"/>
  <c r="U42" i="1"/>
  <c r="V42" i="1" s="1"/>
  <c r="U41" i="1"/>
  <c r="U40" i="1"/>
  <c r="V40" i="1" s="1"/>
  <c r="U39" i="1"/>
  <c r="V39" i="1" s="1"/>
  <c r="U38" i="1"/>
  <c r="V38" i="1" s="1"/>
  <c r="U37" i="1"/>
  <c r="U36" i="1"/>
  <c r="V36" i="1" s="1"/>
  <c r="U35" i="1"/>
  <c r="V35" i="1" s="1"/>
  <c r="U34" i="1"/>
  <c r="V34" i="1" s="1"/>
  <c r="U33" i="1"/>
  <c r="U32" i="1"/>
  <c r="V32" i="1" s="1"/>
  <c r="U31" i="1"/>
  <c r="V31" i="1" s="1"/>
  <c r="U30" i="1"/>
  <c r="V30" i="1" s="1"/>
  <c r="U29" i="1"/>
  <c r="U28" i="1"/>
  <c r="V28" i="1" s="1"/>
  <c r="U27" i="1"/>
  <c r="V27" i="1" s="1"/>
  <c r="U26" i="1"/>
  <c r="V26" i="1" s="1"/>
  <c r="U25" i="1"/>
  <c r="U24" i="1"/>
  <c r="V24" i="1" s="1"/>
  <c r="U23" i="1"/>
  <c r="V23" i="1" s="1"/>
  <c r="U22" i="1"/>
  <c r="V22" i="1" s="1"/>
  <c r="U21" i="1"/>
  <c r="U20" i="1"/>
  <c r="V20" i="1" s="1"/>
  <c r="U19" i="1"/>
  <c r="V19" i="1" s="1"/>
  <c r="U18" i="1"/>
  <c r="V18" i="1" s="1"/>
  <c r="U17" i="1"/>
  <c r="U16" i="1"/>
  <c r="V16" i="1" s="1"/>
  <c r="U15" i="1"/>
  <c r="V15" i="1" s="1"/>
  <c r="U14" i="1"/>
  <c r="V14" i="1" s="1"/>
  <c r="U13" i="1"/>
  <c r="U12" i="1"/>
  <c r="V12" i="1" s="1"/>
  <c r="U11" i="1"/>
  <c r="V11" i="1" s="1"/>
  <c r="U10" i="1"/>
  <c r="V10" i="1" s="1"/>
  <c r="U9" i="1"/>
  <c r="U8" i="1"/>
  <c r="V8" i="1" s="1"/>
  <c r="U7" i="1"/>
  <c r="V7" i="1" s="1"/>
  <c r="U6" i="1"/>
  <c r="V6" i="1" s="1"/>
  <c r="U5" i="1"/>
  <c r="U4" i="1"/>
  <c r="V4" i="1" s="1"/>
  <c r="U3" i="1"/>
  <c r="V3" i="1" s="1"/>
  <c r="U2" i="1"/>
  <c r="V2" i="1" s="1"/>
  <c r="T416" i="1" l="1"/>
  <c r="T415" i="1"/>
  <c r="T821" i="1"/>
  <c r="X841" i="1" l="1"/>
  <c r="X345" i="1"/>
  <c r="T841" i="1"/>
  <c r="T345" i="1"/>
  <c r="X622" i="1"/>
  <c r="X621" i="1"/>
  <c r="T622" i="1"/>
  <c r="T621" i="1"/>
  <c r="D841" i="1"/>
  <c r="D345" i="1"/>
  <c r="X31" i="1"/>
  <c r="T619" i="1"/>
  <c r="T753" i="1"/>
  <c r="T410" i="1"/>
  <c r="T816" i="1"/>
  <c r="T409" i="1"/>
  <c r="T815" i="1"/>
  <c r="T153" i="1"/>
  <c r="T478" i="1"/>
  <c r="T477" i="1"/>
  <c r="T152" i="1"/>
  <c r="T206" i="1"/>
  <c r="T205" i="1"/>
  <c r="T728" i="1"/>
  <c r="T811" i="1"/>
  <c r="T810" i="1"/>
  <c r="T292" i="1"/>
  <c r="T291" i="1"/>
  <c r="T290" i="1"/>
  <c r="T289" i="1"/>
  <c r="T813" i="1"/>
  <c r="T481" i="1"/>
  <c r="T867" i="1"/>
  <c r="T812" i="1"/>
  <c r="T808" i="1"/>
  <c r="T295" i="1"/>
  <c r="T207" i="1"/>
  <c r="T488" i="1"/>
  <c r="T487" i="1"/>
  <c r="T486" i="1"/>
  <c r="T485" i="1"/>
  <c r="T490" i="1"/>
  <c r="T489" i="1"/>
  <c r="T21" i="1"/>
  <c r="T493" i="1"/>
  <c r="T869" i="1"/>
  <c r="T494" i="1"/>
  <c r="T300" i="1"/>
  <c r="T496" i="1"/>
  <c r="T495" i="1"/>
  <c r="T430" i="1"/>
  <c r="T497" i="1"/>
  <c r="T871" i="1"/>
  <c r="T431" i="1"/>
  <c r="T501" i="1"/>
  <c r="T500" i="1"/>
  <c r="T499" i="1"/>
  <c r="T498" i="1"/>
  <c r="T730" i="1"/>
  <c r="T701" i="1"/>
  <c r="T304" i="1"/>
  <c r="T303" i="1"/>
  <c r="T302" i="1"/>
  <c r="T301" i="1"/>
  <c r="T773" i="1"/>
  <c r="T772" i="1"/>
  <c r="T771" i="1"/>
  <c r="T770" i="1"/>
  <c r="T305" i="1"/>
  <c r="T504" i="1"/>
  <c r="T760" i="1"/>
  <c r="T732" i="1"/>
  <c r="T702" i="1"/>
  <c r="T510" i="1"/>
  <c r="T509" i="1"/>
  <c r="T875" i="1"/>
  <c r="T511" i="1"/>
  <c r="T512" i="1"/>
  <c r="T22" i="1"/>
  <c r="T307" i="1"/>
  <c r="T515" i="1"/>
  <c r="T514" i="1"/>
  <c r="T513" i="1"/>
  <c r="T432" i="1"/>
  <c r="T309" i="1"/>
  <c r="T308" i="1"/>
  <c r="T876" i="1"/>
  <c r="T524" i="1"/>
  <c r="T733" i="1"/>
  <c r="T195" i="1"/>
  <c r="T703" i="1"/>
  <c r="T313" i="1"/>
  <c r="T532" i="1"/>
  <c r="T531" i="1"/>
  <c r="T530" i="1"/>
  <c r="T212" i="1"/>
  <c r="T734" i="1"/>
  <c r="T706" i="1"/>
  <c r="T705" i="1"/>
  <c r="T704" i="1"/>
  <c r="T534" i="1"/>
  <c r="T533" i="1"/>
  <c r="T708" i="1"/>
  <c r="T707" i="1"/>
  <c r="T537" i="1"/>
  <c r="T536" i="1"/>
  <c r="T535" i="1"/>
  <c r="T214" i="1"/>
  <c r="T213" i="1"/>
  <c r="T12" i="1"/>
  <c r="T736" i="1"/>
  <c r="T735" i="1"/>
  <c r="T711" i="1"/>
  <c r="T710" i="1"/>
  <c r="T709" i="1"/>
  <c r="T465" i="1"/>
  <c r="T464" i="1"/>
  <c r="T878" i="1"/>
  <c r="T540" i="1"/>
  <c r="T879" i="1"/>
  <c r="T543" i="1"/>
  <c r="T542" i="1"/>
  <c r="T541" i="1"/>
  <c r="T317" i="1"/>
  <c r="T316" i="1"/>
  <c r="T881" i="1"/>
  <c r="T880" i="1"/>
  <c r="T216" i="1"/>
  <c r="T215" i="1"/>
  <c r="T738" i="1"/>
  <c r="T737" i="1"/>
  <c r="T545" i="1"/>
  <c r="T544" i="1"/>
  <c r="T788" i="1"/>
  <c r="T787" i="1"/>
  <c r="T786" i="1"/>
  <c r="T785" i="1"/>
  <c r="T784" i="1"/>
  <c r="T783" i="1"/>
  <c r="T103" i="1"/>
  <c r="T470" i="1"/>
  <c r="T805" i="1"/>
  <c r="T790" i="1"/>
  <c r="T789" i="1"/>
  <c r="T550" i="1"/>
  <c r="T549" i="1"/>
  <c r="T548" i="1"/>
  <c r="T25" i="1"/>
  <c r="T24" i="1"/>
  <c r="T318" i="1"/>
  <c r="T455" i="1"/>
  <c r="T551" i="1"/>
  <c r="T218" i="1"/>
  <c r="T217" i="1"/>
  <c r="T741" i="1"/>
  <c r="T740" i="1"/>
  <c r="T553" i="1"/>
  <c r="T552" i="1"/>
  <c r="T468" i="1"/>
  <c r="T467" i="1"/>
  <c r="T321" i="1"/>
  <c r="T320" i="1"/>
  <c r="T405" i="1"/>
  <c r="T404" i="1"/>
  <c r="T804" i="1"/>
  <c r="T742" i="1"/>
  <c r="T197" i="1"/>
  <c r="T713" i="1"/>
  <c r="T324" i="1"/>
  <c r="T323" i="1"/>
  <c r="T220" i="1"/>
  <c r="T219" i="1"/>
  <c r="T565" i="1"/>
  <c r="T564" i="1"/>
  <c r="T561" i="1"/>
  <c r="T560" i="1"/>
  <c r="T559" i="1"/>
  <c r="T558" i="1"/>
  <c r="T557" i="1"/>
  <c r="T556" i="1"/>
  <c r="T744" i="1"/>
  <c r="T743" i="1"/>
  <c r="T199" i="1"/>
  <c r="T198" i="1"/>
  <c r="T717" i="1"/>
  <c r="T716" i="1"/>
  <c r="T185" i="1"/>
  <c r="T184" i="1"/>
  <c r="T572" i="1"/>
  <c r="T571" i="1"/>
  <c r="T573" i="1"/>
  <c r="T325" i="1"/>
  <c r="T884" i="1"/>
  <c r="T574" i="1"/>
  <c r="T328" i="1"/>
  <c r="T327" i="1"/>
  <c r="T748" i="1"/>
  <c r="T747" i="1"/>
  <c r="T746" i="1"/>
  <c r="T221" i="1"/>
  <c r="T578" i="1"/>
  <c r="T577" i="1"/>
  <c r="T580" i="1"/>
  <c r="T579" i="1"/>
  <c r="T329" i="1"/>
  <c r="T436" i="1"/>
  <c r="T581" i="1"/>
  <c r="T457" i="1"/>
  <c r="T456" i="1"/>
  <c r="T827" i="1"/>
  <c r="T826" i="1"/>
  <c r="T11" i="1"/>
  <c r="T26" i="1"/>
  <c r="T437" i="1"/>
  <c r="T582" i="1"/>
  <c r="T829" i="1"/>
  <c r="T828" i="1"/>
  <c r="T188" i="1"/>
  <c r="T187" i="1"/>
  <c r="T588" i="1"/>
  <c r="T587" i="1"/>
  <c r="T337" i="1"/>
  <c r="T336" i="1"/>
  <c r="T335" i="1"/>
  <c r="T334" i="1"/>
  <c r="T333" i="1"/>
  <c r="T332" i="1"/>
  <c r="T331" i="1"/>
  <c r="T590" i="1"/>
  <c r="T589" i="1"/>
  <c r="T886" i="1"/>
  <c r="T888" i="1"/>
  <c r="T887" i="1"/>
  <c r="T592" i="1"/>
  <c r="T591" i="1"/>
  <c r="T222" i="1"/>
  <c r="T719" i="1"/>
  <c r="T837" i="1"/>
  <c r="T836" i="1"/>
  <c r="T835" i="1"/>
  <c r="T834" i="1"/>
  <c r="T833" i="1"/>
  <c r="T832" i="1"/>
  <c r="T443" i="1"/>
  <c r="T442" i="1"/>
  <c r="T441" i="1"/>
  <c r="T440" i="1"/>
  <c r="T439" i="1"/>
  <c r="T438" i="1"/>
  <c r="T27" i="1"/>
  <c r="T594" i="1"/>
  <c r="T593" i="1"/>
  <c r="T444" i="1"/>
  <c r="T596" i="1"/>
  <c r="T598" i="1"/>
  <c r="T597" i="1"/>
  <c r="T339" i="1"/>
  <c r="T341" i="1"/>
  <c r="T603" i="1"/>
  <c r="T839" i="1"/>
  <c r="T838" i="1"/>
  <c r="T343" i="1"/>
  <c r="T342" i="1"/>
  <c r="T224" i="1"/>
  <c r="T720" i="1"/>
  <c r="T30" i="1"/>
  <c r="T604" i="1"/>
  <c r="T400" i="1"/>
  <c r="T399" i="1"/>
  <c r="T225" i="1"/>
  <c r="T14" i="1"/>
  <c r="T606" i="1"/>
  <c r="T605" i="1"/>
  <c r="T608" i="1"/>
  <c r="T607" i="1"/>
  <c r="T752" i="1"/>
  <c r="T200" i="1"/>
  <c r="T610" i="1"/>
  <c r="T446" i="1"/>
  <c r="T445" i="1"/>
  <c r="T83" i="1"/>
  <c r="T82" i="1"/>
  <c r="T79" i="1"/>
  <c r="T78" i="1"/>
  <c r="T394" i="1"/>
  <c r="T393" i="1"/>
  <c r="T807" i="1"/>
  <c r="T67" i="1"/>
  <c r="T799" i="1"/>
  <c r="T798" i="1"/>
  <c r="T894" i="1"/>
  <c r="T893" i="1"/>
  <c r="T357" i="1"/>
  <c r="T842" i="1"/>
  <c r="T843" i="1"/>
  <c r="T356" i="1"/>
  <c r="T353" i="1"/>
  <c r="T352" i="1"/>
  <c r="T351" i="1"/>
  <c r="T350" i="1"/>
  <c r="T349" i="1"/>
  <c r="T348" i="1"/>
  <c r="T347" i="1"/>
  <c r="T234" i="1"/>
  <c r="T232" i="1"/>
  <c r="T231" i="1"/>
  <c r="T229" i="1"/>
  <c r="T697" i="1"/>
  <c r="T696" i="1"/>
  <c r="T612" i="1"/>
  <c r="T695" i="1"/>
  <c r="T687" i="1"/>
  <c r="T686" i="1"/>
  <c r="T699" i="1"/>
  <c r="T685" i="1"/>
  <c r="T684" i="1"/>
  <c r="T681" i="1"/>
  <c r="T680" i="1"/>
  <c r="T677" i="1"/>
  <c r="T672" i="1"/>
  <c r="T671" i="1"/>
  <c r="T669" i="1"/>
  <c r="T659" i="1"/>
  <c r="T658" i="1"/>
  <c r="T698" i="1"/>
  <c r="T657" i="1"/>
  <c r="T656" i="1"/>
  <c r="T655" i="1"/>
  <c r="T651" i="1"/>
  <c r="T650" i="1"/>
  <c r="T649" i="1"/>
  <c r="T648" i="1"/>
  <c r="T639" i="1"/>
  <c r="T638" i="1"/>
  <c r="T637" i="1"/>
  <c r="T636" i="1"/>
  <c r="T634" i="1"/>
  <c r="T633" i="1"/>
  <c r="T631" i="1"/>
  <c r="T627" i="1"/>
  <c r="T626" i="1"/>
  <c r="T624" i="1"/>
  <c r="T623" i="1"/>
  <c r="T58" i="1"/>
  <c r="T797" i="1"/>
  <c r="T796" i="1"/>
  <c r="T57" i="1"/>
  <c r="T56" i="1"/>
  <c r="T389" i="1"/>
  <c r="T388" i="1"/>
  <c r="T769" i="1"/>
  <c r="T768" i="1"/>
  <c r="T50" i="1"/>
  <c r="T385" i="1"/>
  <c r="T384" i="1"/>
  <c r="T48" i="1"/>
  <c r="T463" i="1"/>
  <c r="T461" i="1"/>
  <c r="T460" i="1"/>
  <c r="T471" i="1"/>
  <c r="T227" i="1"/>
  <c r="T759" i="1"/>
  <c r="T758" i="1"/>
  <c r="T755" i="1"/>
  <c r="T15" i="1"/>
  <c r="T725" i="1"/>
  <c r="T727" i="1"/>
  <c r="T723" i="1"/>
  <c r="T726" i="1"/>
  <c r="T849" i="1"/>
  <c r="T820" i="1"/>
  <c r="X568" i="1" l="1"/>
  <c r="X567" i="1"/>
  <c r="X615" i="1"/>
  <c r="X616" i="1"/>
  <c r="X619" i="1" l="1"/>
  <c r="X753" i="1"/>
  <c r="X638" i="1" l="1"/>
  <c r="X648" i="1"/>
  <c r="X550" i="1"/>
  <c r="X549" i="1"/>
  <c r="X790" i="1"/>
  <c r="X548" i="1"/>
  <c r="X789" i="1"/>
  <c r="X827" i="1"/>
  <c r="X826" i="1"/>
  <c r="X356" i="1"/>
  <c r="X347" i="1"/>
  <c r="X655" i="1"/>
  <c r="X627" i="1"/>
  <c r="X697" i="1"/>
  <c r="X637" i="1"/>
  <c r="X626" i="1"/>
  <c r="X444" i="1"/>
  <c r="X596" i="1"/>
  <c r="X881" i="1"/>
  <c r="X317" i="1"/>
  <c r="X437" i="1"/>
  <c r="X582" i="1"/>
  <c r="X309" i="1"/>
  <c r="X308" i="1"/>
  <c r="X328" i="1"/>
  <c r="X327" i="1"/>
  <c r="X837" i="1"/>
  <c r="X443" i="1"/>
  <c r="X836" i="1"/>
  <c r="X442" i="1"/>
  <c r="X835" i="1"/>
  <c r="X441" i="1"/>
  <c r="X834" i="1"/>
  <c r="X440" i="1"/>
  <c r="X833" i="1"/>
  <c r="X439" i="1"/>
  <c r="X832" i="1"/>
  <c r="X438" i="1"/>
  <c r="X304" i="1"/>
  <c r="X303" i="1"/>
  <c r="X302" i="1"/>
  <c r="X301" i="1"/>
  <c r="X501" i="1"/>
  <c r="X500" i="1"/>
  <c r="X499" i="1"/>
  <c r="X498" i="1"/>
  <c r="X687" i="1"/>
  <c r="X686" i="1"/>
  <c r="X878" i="1"/>
  <c r="X540" i="1"/>
  <c r="X829" i="1"/>
  <c r="X828" i="1"/>
  <c r="X699" i="1"/>
  <c r="X698" i="1"/>
  <c r="X888" i="1"/>
  <c r="X887" i="1"/>
  <c r="X604" i="1"/>
  <c r="X30" i="1"/>
  <c r="X639" i="1"/>
  <c r="X685" i="1"/>
  <c r="X515" i="1"/>
  <c r="X514" i="1"/>
  <c r="X513" i="1"/>
  <c r="X432" i="1"/>
  <c r="X321" i="1"/>
  <c r="X320" i="1"/>
  <c r="X511" i="1"/>
  <c r="X875" i="1"/>
  <c r="X598" i="1"/>
  <c r="X339" i="1"/>
  <c r="X597" i="1"/>
  <c r="X894" i="1"/>
  <c r="X684" i="1"/>
  <c r="X636" i="1"/>
  <c r="X21" i="1"/>
  <c r="X493" i="1"/>
  <c r="X490" i="1"/>
  <c r="X489" i="1"/>
  <c r="X537" i="1"/>
  <c r="X536" i="1"/>
  <c r="X535" i="1"/>
  <c r="X481" i="1"/>
  <c r="X867" i="1"/>
  <c r="X534" i="1"/>
  <c r="X533" i="1"/>
  <c r="X488" i="1"/>
  <c r="X487" i="1"/>
  <c r="X486" i="1"/>
  <c r="X485" i="1"/>
  <c r="X295" i="1"/>
  <c r="X207" i="1"/>
  <c r="X234" i="1"/>
  <c r="X651" i="1"/>
  <c r="X588" i="1"/>
  <c r="X587" i="1"/>
  <c r="X606" i="1"/>
  <c r="X605" i="1"/>
  <c r="X25" i="1"/>
  <c r="X24" i="1"/>
  <c r="X504" i="1"/>
  <c r="X305" i="1"/>
  <c r="X565" i="1"/>
  <c r="X561" i="1"/>
  <c r="X559" i="1"/>
  <c r="X557" i="1"/>
  <c r="X324" i="1"/>
  <c r="X220" i="1"/>
  <c r="X564" i="1"/>
  <c r="X560" i="1"/>
  <c r="X558" i="1"/>
  <c r="X556" i="1"/>
  <c r="X323" i="1"/>
  <c r="X219" i="1"/>
  <c r="X594" i="1"/>
  <c r="X593" i="1"/>
  <c r="X27" i="1"/>
  <c r="X574" i="1"/>
  <c r="X884" i="1"/>
  <c r="X572" i="1"/>
  <c r="X571" i="1"/>
  <c r="X292" i="1"/>
  <c r="X291" i="1"/>
  <c r="X290" i="1"/>
  <c r="X289" i="1"/>
  <c r="X650" i="1"/>
  <c r="X634" i="1"/>
  <c r="X624" i="1"/>
  <c r="X353" i="1"/>
  <c r="X612" i="1"/>
  <c r="X842" i="1"/>
  <c r="X352" i="1"/>
  <c r="X232" i="1"/>
  <c r="X880" i="1"/>
  <c r="X316" i="1"/>
  <c r="X879" i="1"/>
  <c r="X543" i="1"/>
  <c r="X876" i="1"/>
  <c r="X524" i="1"/>
  <c r="X893" i="1"/>
  <c r="X681" i="1"/>
  <c r="X680" i="1"/>
  <c r="X657" i="1"/>
  <c r="X592" i="1"/>
  <c r="X591" i="1"/>
  <c r="X531" i="1"/>
  <c r="X530" i="1"/>
  <c r="X313" i="1"/>
  <c r="X532" i="1"/>
  <c r="X496" i="1"/>
  <c r="X495" i="1"/>
  <c r="X300" i="1"/>
  <c r="X573" i="1"/>
  <c r="X325" i="1"/>
  <c r="X696" i="1"/>
  <c r="X649" i="1"/>
  <c r="X633" i="1"/>
  <c r="X623" i="1"/>
  <c r="X351" i="1"/>
  <c r="X231" i="1"/>
  <c r="X580" i="1"/>
  <c r="X579" i="1"/>
  <c r="X578" i="1"/>
  <c r="X577" i="1"/>
  <c r="X659" i="1"/>
  <c r="X658" i="1"/>
  <c r="X677" i="1"/>
  <c r="X608" i="1"/>
  <c r="X607" i="1"/>
  <c r="X788" i="1"/>
  <c r="X785" i="1"/>
  <c r="X787" i="1"/>
  <c r="X784" i="1"/>
  <c r="X786" i="1"/>
  <c r="X783" i="1"/>
  <c r="X430" i="1"/>
  <c r="X497" i="1"/>
  <c r="X357" i="1"/>
  <c r="X229" i="1"/>
  <c r="X307" i="1"/>
  <c r="X512" i="1"/>
  <c r="X22" i="1"/>
  <c r="X436" i="1"/>
  <c r="X329" i="1"/>
  <c r="X581" i="1"/>
  <c r="X510" i="1"/>
  <c r="X509" i="1"/>
  <c r="X672" i="1"/>
  <c r="X671" i="1"/>
  <c r="X350" i="1"/>
  <c r="X695" i="1"/>
  <c r="X669" i="1"/>
  <c r="X542" i="1"/>
  <c r="X541" i="1"/>
  <c r="X478" i="1"/>
  <c r="X477" i="1"/>
  <c r="X839" i="1"/>
  <c r="X343" i="1"/>
  <c r="X838" i="1"/>
  <c r="X342" i="1"/>
  <c r="X337" i="1"/>
  <c r="X336" i="1"/>
  <c r="X335" i="1"/>
  <c r="X334" i="1"/>
  <c r="X333" i="1"/>
  <c r="X332" i="1"/>
  <c r="X590" i="1"/>
  <c r="X331" i="1"/>
  <c r="X589" i="1"/>
  <c r="X455" i="1"/>
  <c r="X318" i="1"/>
  <c r="X551" i="1"/>
  <c r="X656" i="1"/>
  <c r="X631" i="1"/>
  <c r="X349" i="1"/>
  <c r="X26" i="1"/>
  <c r="X11" i="1"/>
  <c r="X869" i="1"/>
  <c r="X494" i="1"/>
  <c r="X871" i="1"/>
  <c r="X431" i="1"/>
  <c r="X341" i="1"/>
  <c r="X603" i="1"/>
  <c r="X843" i="1"/>
  <c r="X348" i="1"/>
  <c r="X610" i="1"/>
  <c r="X446" i="1"/>
  <c r="X445" i="1"/>
  <c r="X185" i="1"/>
  <c r="X184" i="1"/>
  <c r="X738" i="1"/>
  <c r="X545" i="1"/>
  <c r="X216" i="1"/>
  <c r="X759" i="1"/>
  <c r="X723" i="1"/>
  <c r="X225" i="1"/>
  <c r="X14" i="1"/>
  <c r="X730" i="1"/>
  <c r="X701" i="1"/>
  <c r="X726" i="1"/>
  <c r="X727" i="1"/>
  <c r="X733" i="1"/>
  <c r="X703" i="1"/>
  <c r="X195" i="1"/>
  <c r="X224" i="1"/>
  <c r="X720" i="1"/>
  <c r="X188" i="1"/>
  <c r="X187" i="1"/>
  <c r="X728" i="1"/>
  <c r="X206" i="1"/>
  <c r="X205" i="1"/>
  <c r="X709" i="1"/>
  <c r="X736" i="1"/>
  <c r="X214" i="1"/>
  <c r="X12" i="1"/>
  <c r="X758" i="1"/>
  <c r="X227" i="1"/>
  <c r="X707" i="1"/>
  <c r="X708" i="1"/>
  <c r="X748" i="1"/>
  <c r="X747" i="1"/>
  <c r="X746" i="1"/>
  <c r="X711" i="1"/>
  <c r="X710" i="1"/>
  <c r="X735" i="1"/>
  <c r="X213" i="1"/>
  <c r="X737" i="1"/>
  <c r="X544" i="1"/>
  <c r="X215" i="1"/>
  <c r="X755" i="1"/>
  <c r="X725" i="1"/>
  <c r="X15" i="1"/>
  <c r="X719" i="1"/>
  <c r="X222" i="1"/>
  <c r="X706" i="1"/>
  <c r="X705" i="1"/>
  <c r="X704" i="1"/>
  <c r="X734" i="1"/>
  <c r="X212" i="1"/>
  <c r="X457" i="1"/>
  <c r="X456" i="1"/>
  <c r="X744" i="1"/>
  <c r="X717" i="1"/>
  <c r="X199" i="1"/>
  <c r="X752" i="1"/>
  <c r="X200" i="1"/>
  <c r="X742" i="1"/>
  <c r="X713" i="1"/>
  <c r="X197" i="1"/>
  <c r="X221" i="1"/>
  <c r="X760" i="1"/>
  <c r="X732" i="1"/>
  <c r="X702" i="1"/>
  <c r="X743" i="1"/>
  <c r="X716" i="1"/>
  <c r="X198" i="1"/>
  <c r="D243" i="1" l="1"/>
  <c r="D244" i="1"/>
  <c r="D58" i="1"/>
  <c r="D57" i="1"/>
  <c r="D254" i="1"/>
  <c r="D240" i="1"/>
  <c r="D256" i="1"/>
  <c r="D272" i="1"/>
  <c r="D274" i="1"/>
  <c r="X217" i="1"/>
  <c r="X218" i="1"/>
  <c r="X740" i="1"/>
  <c r="X741" i="1"/>
  <c r="D239" i="1"/>
  <c r="D275" i="1"/>
  <c r="D273" i="1"/>
  <c r="D271" i="1"/>
  <c r="D276" i="1"/>
  <c r="D255" i="1"/>
  <c r="X552" i="1"/>
  <c r="X553" i="1"/>
  <c r="D242" i="1"/>
  <c r="D238" i="1"/>
  <c r="D270" i="1"/>
  <c r="D277" i="1"/>
  <c r="D237" i="1"/>
  <c r="D241" i="1"/>
  <c r="D792" i="1"/>
  <c r="D38" i="1"/>
  <c r="D807" i="1"/>
  <c r="D81" i="1"/>
  <c r="D260" i="1"/>
  <c r="U896" i="1"/>
  <c r="D261" i="1"/>
  <c r="D690" i="1"/>
  <c r="D245" i="1"/>
  <c r="D262" i="1"/>
  <c r="D264" i="1"/>
  <c r="D263" i="1"/>
  <c r="D246" i="1"/>
  <c r="D247" i="1"/>
  <c r="D248" i="1"/>
  <c r="D249" i="1"/>
  <c r="D265" i="1"/>
  <c r="D250" i="1"/>
  <c r="V896" i="1" l="1"/>
  <c r="X886" i="1"/>
  <c r="W897" i="1" l="1"/>
  <c r="T897" i="1" l="1"/>
  <c r="U897" i="1" l="1"/>
  <c r="V897" i="1"/>
  <c r="D897" i="1"/>
</calcChain>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connection>
</connections>
</file>

<file path=xl/sharedStrings.xml><?xml version="1.0" encoding="utf-8"?>
<sst xmlns="http://schemas.openxmlformats.org/spreadsheetml/2006/main" count="10280" uniqueCount="2038">
  <si>
    <t>Country</t>
  </si>
  <si>
    <t>Institution</t>
  </si>
  <si>
    <t>Type</t>
  </si>
  <si>
    <t>Amount (in USD)</t>
  </si>
  <si>
    <t>Project Sponsor</t>
  </si>
  <si>
    <t>Project</t>
  </si>
  <si>
    <t>Sector Group</t>
  </si>
  <si>
    <t>Sector</t>
  </si>
  <si>
    <t>Notes</t>
  </si>
  <si>
    <t>Annual Emissions (MMTCO2)</t>
  </si>
  <si>
    <t>Lifetime Emissions (MMTCO2)</t>
  </si>
  <si>
    <t>Coal Mine Size (Mtpa)</t>
  </si>
  <si>
    <t>Low-Income Country</t>
  </si>
  <si>
    <t>Argentina</t>
  </si>
  <si>
    <t>Multilateral</t>
  </si>
  <si>
    <t>ACWA Equity</t>
  </si>
  <si>
    <t>http://www-wds.worldbank.org/external/default/WDSContentServer/WDSP/IB/2014/03/22/000414397_20140324123257/Rendered/PDF/PID0Pakistan0P00DPC0March012002014.pdf</t>
  </si>
  <si>
    <t>Coal Power Plant</t>
  </si>
  <si>
    <t>Coal Power Plant - New</t>
  </si>
  <si>
    <t>Equity investment in ACWA Power / International Company for Water and Power projects includes support for a 270 MW coal power plant in Mozambique and a 450 MW coal power plant in South Africa. 
This project differs from the institution's list of projects. Primary areas of disagreement are on 1) policy loans that included coal components, 2) private sector financing to projects or companies that include coal components orrely on coal power and 3) financing to financial intermediaries that have a heavy emphasis on supporting coal.
Bank Response: IFC’s financing agreements explicitly state that IFC funds cannot be used in ACWA coal projects. Funds from the IFC disbursement to ACWA were used in renewable energy projects. Note: ACWA’s coal projects have yet to reach financial close.</t>
  </si>
  <si>
    <t>Chile</t>
  </si>
  <si>
    <t>World Bank - International Development Association</t>
  </si>
  <si>
    <t>Kyrgyz Republic</t>
  </si>
  <si>
    <t>Coal Power Plant - Existing</t>
  </si>
  <si>
    <t>Inter-American Development Bank</t>
  </si>
  <si>
    <t>Brazil</t>
  </si>
  <si>
    <t>India</t>
  </si>
  <si>
    <t>Philippines</t>
  </si>
  <si>
    <t>African Development Bank</t>
  </si>
  <si>
    <t>Botswana</t>
  </si>
  <si>
    <t>Eskom</t>
  </si>
  <si>
    <t>South Africa</t>
  </si>
  <si>
    <t>Government of Senegal</t>
  </si>
  <si>
    <t>Senegal</t>
  </si>
  <si>
    <t>Yes</t>
  </si>
  <si>
    <t>Government of Mongolia</t>
  </si>
  <si>
    <t>Mongolia</t>
  </si>
  <si>
    <t>Coal Mining</t>
  </si>
  <si>
    <t>Tata Power</t>
  </si>
  <si>
    <t>SN- Second Governance and Growth Support Credit (including Sendou coal power plant)</t>
  </si>
  <si>
    <t>http://www.ebrd.com/english/pages/project/psd/2008/38016.shtml</t>
  </si>
  <si>
    <t>Financing - IDA ($30.0 m.). Sector: General energy - 25%. General energy sector support includes coordination with the development of the 125 MW Sendou coal power plant
On energy aspects, Government has entered into a performance contract with utility (SENELEC) to reduce distribution losses, increase billing recovery, and strengthen financial management.</t>
  </si>
  <si>
    <t xml:space="preserve">Stora Enso Oyj </t>
  </si>
  <si>
    <t>Stora Enso  (Stora China III)</t>
  </si>
  <si>
    <t>https://ifcndd.ifc.org/ifcext/spiwebsite1.nsf/78e3b305216fcdba85257a8b0075079d/7786a0ba1f47451685257c2b00686cd7?opendocument</t>
  </si>
  <si>
    <t>China</t>
  </si>
  <si>
    <t xml:space="preserve">$88 mil Loan and $59 mil equity. The Project is to build plantation-based integrated board and pulp mills at Beihai city in Guangxi, southern China. From the US government's statement: "..the project relies on coal for at least 80 percent of its needs in the expected three years of phase one of the project, and 20 percent thereafter.
Manufacturing project that includes power generation. Coal is expected to provide 20% of the fuel mix in the greenfield pulp and board mill’s cogeneration systems. </t>
  </si>
  <si>
    <t>Nigerian Bulk Electricity Trading</t>
  </si>
  <si>
    <t>Partial risk guarantee for coal-to-power investment in Nigeria</t>
  </si>
  <si>
    <t>Nigeria</t>
  </si>
  <si>
    <t xml:space="preserve">Partial risk guarantee for coal-fired power project investment in Nigeria. Official project information not available on AfDB website, but transaction was widely reported in Nigerian press:
</t>
  </si>
  <si>
    <t>http://www.post-nigeria.com/afdb-pumps-200m-into-nigerias-coal-to-power-production/
http://www.esi-africa.com/news/coal-to-power-afdb-commits-200m-to-nigerias-dirty-fuel/
http://guardian.ng/news/afdb-pledges-200m-support-for-coal-to-power-projects/?ak_action=reject_mobile</t>
  </si>
  <si>
    <t>Support for Eskom Capacity Expansion Program</t>
  </si>
  <si>
    <t>http://www.afdb.org/en/news-and-events/article/afdb-supports-eskom-to-construct-and-maintain-transmission-lines-and-power-stations-in-south-africa-15264/</t>
  </si>
  <si>
    <t>Other/Unspecified</t>
  </si>
  <si>
    <t>Other</t>
  </si>
  <si>
    <t xml:space="preserve">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
Financing for Eskom Capacity Expansion Program (not for an individual project), which includes multiple GW scale-up of coal-fired power and associated transmission infrastructure
US voted "no" to these loans, partly because of concerns around potential to contribute to coal-fired power expansion:
</t>
  </si>
  <si>
    <t>http://www.afdb.org/en/news-and-events/article/afdb-supports-eskom-to-construct-and-maintain-transmission-lines-and-power-stations-in-south-africa-15264/
https://www.treasury.gov/resource-center/international/development-banks/Documents/U.S.%20Position%20on%20the%20AfDB%20ESKOM%20Loan%20to%20South%20Africa%20FINAL.pdf</t>
  </si>
  <si>
    <t>Coal - Policy</t>
  </si>
  <si>
    <t>Government of Kosovo</t>
  </si>
  <si>
    <t>Clean-up &amp; Land Reclamation Project (Additional Financing)</t>
  </si>
  <si>
    <t>http://www.ebrd.com/work-with-us/projects/psd/pavlodar-energo.html</t>
  </si>
  <si>
    <t>Kosovo</t>
  </si>
  <si>
    <t>Coal Mining - Cleanup</t>
  </si>
  <si>
    <t>Loan (General energy - 69%) The objectives of the Second Additional Financing for the Energy Sector Clean-Up and Land Reclamation Project (CLRP) are to: a) address environmental legacy issues related to open dumping of ashes on land; b) enable Kosovo Energy Corporation (KEK) to free land for community development purposes currently taken by overburden materials and enable KEK to remediate the Kosovo A ash dump; and c) build capacity in KEK for continued clean-up and environmentally good practice mining operations.
Bank response: Original 2006 project included preparation of Mirash Open Pit Mine for Ash Management; Remediation of Kosovo A Ash Dump; Reclamation of Overburden Dump Areas. Additional Financing funds tree planting in overburden areas; scale-up of ongoing tar deposits/tar sludge removal</t>
  </si>
  <si>
    <t>T&amp;D</t>
  </si>
  <si>
    <t>Coal - T &amp; D</t>
  </si>
  <si>
    <t>Indonesia</t>
  </si>
  <si>
    <t xml:space="preserve">Government of Mozambique </t>
  </si>
  <si>
    <t>Ninth Poverty Reduction Support Credit (PRSC 9)</t>
  </si>
  <si>
    <t>http://www.ebrd.com/work-with-us/projects/psd/mak.html</t>
  </si>
  <si>
    <t>Mozambique</t>
  </si>
  <si>
    <t>Total Loan: $110 mil As stated on the World Bank website under 'Details' - 'Sectors': Other Mining and Extractive Industries 22% The government is currently revising the mining and petroleum legislation, supported by this PRSC series. Given focus on coal mining, 11% counted for coal mining regulations.Coal mining extensively referenced in project documents 
Bank Response: Among other things, this DPL supported Mozambique becoming EITI compliant and improving mining sector laws. Included a trigger for coverage of the legal framework managing mining and petroleum activities.</t>
  </si>
  <si>
    <t xml:space="preserve">
http://www-wds.worldbank.org/external/default/WDSContentServer/WDSP/IB/2013/06/26/000356161_20130626114537/Rendered/PDF/751170PGD0P131010Box0377356B0OUO090.pdf
http://www-wds.worldbank.org/external/default/WDSContentServer/WDSP/IB/2013/06/13/000001843_20130618125021/Rendered/PDF/PID000Appraisal0Stage000MZ0PRSC9.pdf</t>
  </si>
  <si>
    <t>Oyu Tolgoi, LLC</t>
  </si>
  <si>
    <t xml:space="preserve">Oyu Tolgoi Power Plant </t>
  </si>
  <si>
    <t>https://ifcndd.ifc.org/ifcext/spiwebsite1.nsf/78e3b305216fcdba85257a8b0075079d/f31022fd70f070f785257a62005d3f59?opendocument</t>
  </si>
  <si>
    <t>IFC's  investment is a $400 million senior A Loan together with a B Loan of up to $600 million loan to be syndicated to international commercial banks, as part of a proposed $4billion project debt financing. The total project cost $7.1 billion. The coal plant cost $500 million, representing 7% of project costs. Amount included is $400 mil *.07 = $28,000,000
This project differs from the institution's list of projects. Primary areas of disagreement are on 1) policy loans that included coal components, 2) private sector financing to projects or companies that include coal components orrely on coal power and 3) financing to financial intermediaries that have a heavy emphasis on supporting coal. 
Bank Response:Not a coal power plant. IFC financing is on hold. If it goes ahead, it would support the copper and gold mine. If the sponsor Rio Tinto decides to build a power plant at an associated facility, IFC would require Rio to ascertain all possible alternatives to coal for such a power plant.</t>
  </si>
  <si>
    <t>Pakistan</t>
  </si>
  <si>
    <t>Government of Pakistan</t>
  </si>
  <si>
    <t>Power Sector Reform: Development Policy Credit</t>
  </si>
  <si>
    <t>http://www.ebrd.com/work-with-us/projects/psd/mongolia-mining-corporation.html</t>
  </si>
  <si>
    <t>Total Financing - IDA ($600.0 m.). As stated on the World Bank website under 'Details' - 'Sectors':General energy - 100%. Power sector development strategy anticipates an increase in coal projects. Project finance amount split evenly between three power sources listed in program document (coal, hydro, and natural gas). Amount listed is $600,000,000 *.33 = $200,000,000
This project differs from the institution's list of projects. Primary areas of disagreement are on 1) policy loans that included coal components, 2) private sector financing to projects or companies that include coal components orrely on coal power and 3) financing to financial intermediaries that have a heavy emphasis on supporting coal. 
Bank Response: This is not a “coal policy loan”. The reform program is helping set the power sector on a more environmentally sustainable path.  From 2019, there will be a shift towards hydropower and natural gas in the generation mix. One coal plant at Jamshoro is expected to enter service. It will be financed by ADB.</t>
  </si>
  <si>
    <t>http://www-wds.worldbank.org/external/default/WDSContentServer/WDSP/IB/2014/04/11/000442464_20140411094222/Rendered/PDF/860310PGD0P128000Box385177B00OUO090.pdf</t>
  </si>
  <si>
    <t>http://www.ebrd.com/work-with-us/projects/psd/eps-restructuring.html</t>
  </si>
  <si>
    <t>Ukraine</t>
  </si>
  <si>
    <t>Australia</t>
  </si>
  <si>
    <t>Asian Development Bank</t>
  </si>
  <si>
    <t>Mongolia Ministry of Mining and Energy</t>
  </si>
  <si>
    <t>Coal to Cleaner Fuel Conversion for Heating in Ger District and Power Generation</t>
  </si>
  <si>
    <t>Coal-to-liquids
ADB Project 48029-001: Source of Funding - ADB/Technical Assistance Special Fund ($0.35 m.). Coal-to-liquid (CTL) process. 
ADB RESPONSE: This is a Policy Advisory Technical Assistance. ADB does not count it as part of its loan investments</t>
  </si>
  <si>
    <t>http://www.adb.org/sites/default/files/project-document/150799/48029-001-tar.pdf</t>
  </si>
  <si>
    <t>European Bank for Reconstruction and Development</t>
  </si>
  <si>
    <t>Kazakhstan</t>
  </si>
  <si>
    <t>Jamshoro Power Generation Project - Stage 1</t>
  </si>
  <si>
    <t>ABD Project 47094-001: Source of Funding - ADB Ordinary Capital Resources ($870 million) &amp; ADB/Asian Development Fund ($30 million). Loan (Dec 2013) and Grant (Aug 2013) Supercritical; Power Plant emission are divided evenly among the G20 countries that provided funding to the projects. 
ADB RESPONSE: Confirmed</t>
  </si>
  <si>
    <t>http://www.adb.org/projects/47094-001/main</t>
  </si>
  <si>
    <t>Bangladesh</t>
  </si>
  <si>
    <t>Vietnam</t>
  </si>
  <si>
    <t>Export Finance and Insurance Corporation (EFIC)</t>
  </si>
  <si>
    <t>Not identified</t>
  </si>
  <si>
    <t>OECD data on export credit support for fossil fuel power plants and fossil fuel extraction projects, 9 October 2014</t>
  </si>
  <si>
    <t>EPS</t>
  </si>
  <si>
    <t>EPS Restructuring</t>
  </si>
  <si>
    <t>Serbia</t>
  </si>
  <si>
    <t>Financing for restructing of Serbian state-owned utility EPS, which is lignite-heavy and maintains plans for significant lignite expansion. 
While not exclusively for coal, this investment is included because of EPS lignite expansion plans and lack of prior EBRD investments in EPS resulting in observable changes in supply mix or capacity addition plans.</t>
  </si>
  <si>
    <t>http://www.ebrd.com/news/2015/ebrd-supports-reform-of-serbias-power-sector-with-200-million-loan-to-eps.html
http://bankwatch.org/publications/issues-serbian-electricity-company-eps-need-be-addressed-within - New-ebrd-loan
http://bankwatch.org/bwmail/62/ebrd-digs-deeper-serbian-coal-king</t>
  </si>
  <si>
    <t>Vietnam Electricity (EVN)</t>
  </si>
  <si>
    <t>Anglo Coal Australia</t>
  </si>
  <si>
    <t>Global</t>
  </si>
  <si>
    <t>Russia</t>
  </si>
  <si>
    <t>Romania</t>
  </si>
  <si>
    <t>Poland</t>
  </si>
  <si>
    <t>Xstrata Coal Queensland</t>
  </si>
  <si>
    <t>Support for coking coal mining</t>
  </si>
  <si>
    <t>Coking coal mining</t>
  </si>
  <si>
    <t>Bank Support Clinets</t>
  </si>
  <si>
    <t xml:space="preserve">Global </t>
  </si>
  <si>
    <t xml:space="preserve">Coal Mining </t>
  </si>
  <si>
    <t>Mining/ coking coal</t>
  </si>
  <si>
    <t>http://www.efic.gov.au/media/1845/efic-annual-report-2013-2014_digital.pdf</t>
  </si>
  <si>
    <t>NRW Holdings Ltd</t>
  </si>
  <si>
    <t>Mining / construction services
EFIC RESPONSE: Multiple references to NRW are incorrectly allocated to coal mining.  The bonding lines provided in each instance were in relation to iron ore mining operations</t>
  </si>
  <si>
    <t>Canada</t>
  </si>
  <si>
    <t>Export Development Canada (EDC)</t>
  </si>
  <si>
    <t>China Development Bank</t>
  </si>
  <si>
    <t>Other Public Financer</t>
  </si>
  <si>
    <t xml:space="preserve"> 
En+ Group and Shenhua Group</t>
  </si>
  <si>
    <t>En+ Group and Shenhua Group coal mining and exploration</t>
  </si>
  <si>
    <t>http://www.platts.com/latest-news/coal/moscow/russian-en-china-development-bank-chinese-shenhua-7656113 http://news.guidechem.com/2013/03/25/17655.html http://www.reuters.com/article/2013/03/22/russia-china-coal-idUSL6N0CE0JX20130322 http://www.basel.ru/en/articles/enplus_11_12_13 http://www.brookings.edu/blogs/up-front/posts/2013/04/01-china-russia-energy-relations-downs https://ijglobal.com/articles/83858/east-russian-coal-deal-signed-with-chinese-giants</t>
  </si>
  <si>
    <t>Coal - mining</t>
  </si>
  <si>
    <t>Bosnia and Herzegovina</t>
  </si>
  <si>
    <t>PT PLN Persero</t>
  </si>
  <si>
    <t>TELUK SIRIH POWER
STATION</t>
  </si>
  <si>
    <t>http://www.sourcewatch.org/index.php/Teluk_Sirih_power_station
http://climatepolicyinitiative.org/wp-content/uploads/2015/11/Slowing-the-Growth-of-Coal-Power-Outside-China.pdf</t>
  </si>
  <si>
    <t>http://www.mofcom.gov.cn/article/i/jyjl/j/201304/20130400078299.shtml</t>
  </si>
  <si>
    <t>http://www.sourcewatch.org/index.php/Cilacap_Sumber_power_station</t>
  </si>
  <si>
    <t>Adani Power</t>
  </si>
  <si>
    <t>Tiroda Power Plant - Gondia - Additional Facility</t>
  </si>
  <si>
    <t>https://ijglobal.com/data/transaction/28581/gondia-coal-fired-project-additional-facility-3300mw</t>
  </si>
  <si>
    <t xml:space="preserve">The total plant size is 3300MW, divided equally CDB, and ICBC. </t>
  </si>
  <si>
    <t>Sinar Mas Group</t>
  </si>
  <si>
    <t>SUMSEL-5 POWER STATION
(AKA SUMATERA SELATAN-
5)</t>
  </si>
  <si>
    <t>http://mediaprofesi.com/industri/2136-pt-dssp-power-sumsel-pltu-ipp-sumsel-5-siap-beroperasi-tahun-2015.html</t>
  </si>
  <si>
    <t xml:space="preserve">Coal power plant - new </t>
  </si>
  <si>
    <t>http://vietnamnews.vn/economy/248733/thermal-power-project-warms-up.html</t>
  </si>
  <si>
    <t>"The loan agreements include a $330 million direct loan with KEXIM, $270 million KEXIM guaranteed loan with the Bank of Tokyo-Mitsubishi UFJ, Ltd (BTMU), CITI bank, HSBC bank, Mizuho bank, Standard Chartered Bank (SCB), and Oversea Chinese Banking Corporation (OCBC), along with a $195.25 million commercial loan with BTMU, China Development Bank (CDB), CITI bank, HSBC, Mizuho, OCBC and SCB" -- see: http://vietnamnews.vn/economy/248733/thermal-power-project-warms-up.html  We have applied the split the "commercial loan" between the 7 listed institutions. ; For plant size see: http://www.aurecongroup.com/en/projects/resources/vinh-tan-2-coal-fired-power-plant.aspx</t>
  </si>
  <si>
    <t>China Power International Development Limited Company, Power Corporation (Vietnam National Coal-Natural Industries Corporation)</t>
  </si>
  <si>
    <t>Vinh Tan 1 Coal-Fired Thermal Power Plant (1200MW)</t>
  </si>
  <si>
    <t>https://ijglobal.com/data/transaction/33000/1200mw-vinh-tan-1-coal-fired-thermal-power-plant</t>
  </si>
  <si>
    <t xml:space="preserve">Total plant size 1200MW, equally divided among 6 financers: CDB, China Construction Bank, ICBC, Bank of China, China Exim, and Sinosure.   </t>
  </si>
  <si>
    <t>Kendari-3</t>
  </si>
  <si>
    <t xml:space="preserve">http://jakartaglobe.beritasatu.com/business/sinar-mas-energy-holding-pushes-ahead-coal-fired-power-plants/
</t>
  </si>
  <si>
    <t>http://economictimes.indiatimes.com/news/international/business/indonesias-sinarmas-to-invest-600-700-million-in-2-coal-plants-sources/articleshow/46983781.cms http://www.reuters.com/article/2015/04/20/indonesia-wef-sinarmas-idUSL4N0XH09620150420 http://thejakartaglobe.beritasatu.com/business/sinar-mas-inks-loan-deal-chinese-banks
http://www.sourcewatch.org/index.php/Sinar_Mas_Jambi_power_station</t>
  </si>
  <si>
    <t>http://www.sourcewatch.org/index.php/Celukan_Bawang_power_station
https://www.bu.edu/pardeeschool/files/2016/05/Fueling-Growth.FINAL_.version.pdf</t>
  </si>
  <si>
    <t>http://dialogochino.net/brazil-adds-new-coal-fired-power/</t>
  </si>
  <si>
    <t>United States</t>
  </si>
  <si>
    <t>Serbian Ministry of Energy, Development and Environmental Protection</t>
  </si>
  <si>
    <t>Kostolac B3</t>
  </si>
  <si>
    <t xml:space="preserve">http://uk.reuters.com/article/2014/12/14/serbia-energy-china-idUKL6N0TY0MD20141214 </t>
  </si>
  <si>
    <t>Coal power plant - expansion</t>
  </si>
  <si>
    <t>Note - additional to Kostolac 2/3 project approved in 2012
China Machinery Engineering Corporation</t>
  </si>
  <si>
    <t>http://www.sourcewatch.org/index.php/OPM_Kostolac http://cpmconsulting.rs/eng/government-adopts-legal-framework-project-kostolac-b3 http://www.bloomberg.com/news/articles/2013-11-20/serbs-sign-716-million-coal-plant-mine-deal-with-cmec http://www.rts.rs/page/stories/sr/story/13/Ekonomija/1413586/Nikoli%C4%87+sa+kineskom+delegacijom.html (see pp. 7-8) http://www.bloomberg.com/news/articles/2012-09-27/serbia-will-seek-chinese-funding-to-expand-kostolac-power-plant http://www.pp.u-tokyo.ac.jp/research/dp/documents/GraSPP-DP-E-14-003-SOM.pdf http://www.sourcewatch.org/index.php/TPP_Kostolac_Power_Station http://www.reuters.com/article/2013/11/05/serbia-energy-china-idUSL5N0IQ3PF20131105 
https://en.wikipedia.org/wiki/TPP_Kostolac_B3 http://www.tradefinancemagazine.com/Article/3275764/Sectors/23007/China-Ex-Im-to-fund-1-billion-Serbian-coal-plant.html
http://bankwatch.org/our-work/projects/kostolac-lignite-power-plant-serbia</t>
  </si>
  <si>
    <t>Construction</t>
  </si>
  <si>
    <t>Sepco III</t>
  </si>
  <si>
    <t>http://news.xinhuanet.com/english/africa/2013-07/26/c_132577824.htm</t>
  </si>
  <si>
    <t>Morocco</t>
  </si>
  <si>
    <t>Office National de l’Electricité</t>
  </si>
  <si>
    <t>JERADA - EXTENSION</t>
  </si>
  <si>
    <t>http://www.sourcewatch.org/index.php/Jerada_power_station
http://climatepolicyinitiative.org/wp-content/uploads/2015/11/Slowing-the-Growth-of-Coal-Power-Outside-China.pdf</t>
  </si>
  <si>
    <t>Bishkek CHP power station</t>
  </si>
  <si>
    <t>Bishkek CHP power station (300MW)</t>
  </si>
  <si>
    <t>http://www.sourcewatch.org/index.php/Bishkek_power_station</t>
  </si>
  <si>
    <t>Power China</t>
  </si>
  <si>
    <t>http://www.powerchina.cn/art/2016/7/21/art_23_178043.html</t>
  </si>
  <si>
    <t>Indonesian State Electricity Company</t>
  </si>
  <si>
    <t>Pangkalan Susu Units 1 and 2 Coal Power Plant (400MW)</t>
  </si>
  <si>
    <t>http://china.aiddata.org/projects/39372 http://www.sourcewatch.org/index.php/Pangkalan_Susu_power_station http://www.djppr.kemenkeu.go.id/page/load/1177</t>
  </si>
  <si>
    <t>Sinohydro</t>
  </si>
  <si>
    <t>http://static.sse.com.cn/disclosure/listedinfo/announcement/c/2015-08-20/601669_20150820_1.pdf</t>
  </si>
  <si>
    <t>Takalar Steam Coal Power Plant</t>
  </si>
  <si>
    <t>http://china.aiddata.org/projects/39373 
http://www.bappenas.go.id/files/4314/1387/1046/drppln-2014.pdf http://www.pln.co.id/eng/?p=3165 
http://www.chinadaily.com.cn/m/gezhouba/2015-05/12/content_20698093.htm http://www.djppr.kemenkeu.go.id/page/load/1177</t>
  </si>
  <si>
    <t>Angren thermal power plant modernization</t>
  </si>
  <si>
    <t xml:space="preserve">http://www.sourcewatch.org/index.php/International_Chinese_coal_projects#Maheshkhali_power_station_.28Huadian.29 http://www.pp.u-tokyo.ac.jp/research/dp/documents/GraSPP-DP-E-14-003-SOM.pdf http://easttime.info/news/china/export-import-bank-china-deliver-165-million-uzbekistan http://easttime.info/news/china/export-import-bank-china-deliver-165-million-uzbekistan http://www.investor.uz/?p=802 http://en.trend.az/business/economy/2188862.html </t>
  </si>
  <si>
    <t>Uzbekistan</t>
  </si>
  <si>
    <t>JAKS Resources and China Power Engineering Consulting Group</t>
  </si>
  <si>
    <t>Hai Duong Coal-Fired Power Plant</t>
  </si>
  <si>
    <t>https://ijglobal.com/data/transaction/34394/hai-duong-coal-fired-power-plant-1200mw</t>
  </si>
  <si>
    <t xml:space="preserve">Total power plant size is 1200MW, divided equally between the three financers: ICBC, China Exim, and China Construction Bank. </t>
  </si>
  <si>
    <t>Zimbabwe Power Company</t>
  </si>
  <si>
    <t>Zimbabwe</t>
  </si>
  <si>
    <t>Bukit Asam and China Huadian Corporation Power Operation Company</t>
  </si>
  <si>
    <t>https://ijglobal.com/data/transaction/33665/tanjung-enim-coal-fired-mine-mouth-power-plant-1240mw</t>
  </si>
  <si>
    <t>http://www.eximbank.gov.cn/tm/Newdetails/index.aspx?nodeid=343&amp;page=ContentPage&amp;categoryid=0&amp;contentid=27175</t>
  </si>
  <si>
    <t>Nava Bharat and ZCCM</t>
  </si>
  <si>
    <t>Maamba Coal-Fired Power Plant Phase I (300MW)</t>
  </si>
  <si>
    <t>https://ijglobal.com/data/transaction/32254/maamba-coal-fired-power-plant-phase-i-300mw</t>
  </si>
  <si>
    <t>Zambia</t>
  </si>
  <si>
    <t>France</t>
  </si>
  <si>
    <t>European Investment Bank</t>
  </si>
  <si>
    <t>Germany</t>
  </si>
  <si>
    <t>ENEL</t>
  </si>
  <si>
    <t>Italy</t>
  </si>
  <si>
    <t>Coal Power Plant Emissions Control</t>
  </si>
  <si>
    <t>Coal Power Plant - Emissions Control</t>
  </si>
  <si>
    <t>Greece</t>
  </si>
  <si>
    <t>Compagnie Francaise d'Assurance pour le Commerce Exterieur (COFACE)</t>
  </si>
  <si>
    <t>Alstom Power Systems SA</t>
  </si>
  <si>
    <t>Kusile coal-fired power plant, guarantee to cover a loan used for the control and instrumentation contract supplied by Alstom</t>
  </si>
  <si>
    <t>http://www.coface.fr/content/download/46639/532929/version/4/file/Contrats+gtis+2%C3%A8me+trimestre+2013.pdf</t>
  </si>
  <si>
    <t>This final loan was made sometime between April and June 2013. We have documented it as May to fall in the middle of that range and used the currency conversion rate for May 15.</t>
  </si>
  <si>
    <t>Euler Hermes</t>
  </si>
  <si>
    <t>Coal processing: coal grinding plant</t>
  </si>
  <si>
    <t>Egypt</t>
  </si>
  <si>
    <t>Parliamentary Inquiry. Coal-to-liquids</t>
  </si>
  <si>
    <t>Coalmining machinery: folding shovel excavator</t>
  </si>
  <si>
    <t>Parliamentary Inquiry. 7m Euros</t>
  </si>
  <si>
    <t>Coal processing: coke oven machine including services</t>
  </si>
  <si>
    <t>Kreditanstalt für Wiederaufbau (KfW IPEX)</t>
  </si>
  <si>
    <t>Turkey</t>
  </si>
  <si>
    <t>Kreditanstalt für Wiederaufbau (KfW DEG)</t>
  </si>
  <si>
    <t>Macedonia</t>
  </si>
  <si>
    <t>Kreditanstalt für Wiederaufbau (KfW)</t>
  </si>
  <si>
    <t>Thailand</t>
  </si>
  <si>
    <t>Coal - Transport</t>
  </si>
  <si>
    <t>Israel</t>
  </si>
  <si>
    <t>Coal - Processing</t>
  </si>
  <si>
    <t>Oyu Tolgoi gold and copper mine (w/ coal power plant)</t>
  </si>
  <si>
    <t>http://www.exim.gov/newsandevents/releases/2013/ExIm-Approves-500-million-to-Finance-US-Exports-for-Use-in-Mongolian-Mine.cfm</t>
  </si>
  <si>
    <t>National Thermal Power Corporation</t>
  </si>
  <si>
    <t>Coal-fired power plants: steam generator plant and turbine unit</t>
  </si>
  <si>
    <t>Parliamentary Inquiry. 839 million euros.</t>
  </si>
  <si>
    <t>Coal-fired power plants: power plant units</t>
  </si>
  <si>
    <t xml:space="preserve">172 million euros </t>
  </si>
  <si>
    <t>Coal-fired power plants: steam turbines/generators for a coal-fired power plant</t>
  </si>
  <si>
    <t>Parliamentary Inquiry. 64 million euros</t>
  </si>
  <si>
    <t>Coalmining machinery: crushers, conveyors, spreaders, installation engineering</t>
  </si>
  <si>
    <t>Parliamentary Inquiry. 56m euros</t>
  </si>
  <si>
    <t>Coal-fired power plants:  modernisation of coal mixing storage bays</t>
  </si>
  <si>
    <t>Parliamentary Inquiry. 30 million euros</t>
  </si>
  <si>
    <t>Coalmining machinery: equipment for mining coal</t>
  </si>
  <si>
    <t>Parliamentary Inquiry. 30m euros</t>
  </si>
  <si>
    <t>KfW response to Parliament says that through Oct. 31, 2013 they invested 185,023940 euros in coal projects. Since KfW didn't break out the data per project we have classifed it as unspecified. The value assigned to this unspecified is the difference between the data KfW reported to Parliament and the amount that we were able to document using public data. This value--the difference-- was converted to USD using the currency rate as of Oct. 31, 2013. As of October 31, 2013.</t>
  </si>
  <si>
    <t>Coal processing: equipment for manufacturing briquettes</t>
  </si>
  <si>
    <t>Parliamentary Inquiry. 2m euros</t>
  </si>
  <si>
    <t>Coal-fired power plants: ball track incl. fixtures</t>
  </si>
  <si>
    <t>Parliamentary Inquiry. 0.3 million euros</t>
  </si>
  <si>
    <t>ThyssenKrupp Resource Technologies AG</t>
  </si>
  <si>
    <t>Plants for the mining of coal</t>
  </si>
  <si>
    <t>http://www.agaportal.de/en/aga/projektinformationen/liste.html</t>
  </si>
  <si>
    <t xml:space="preserve">The German website cited lists this as a "category 3" project which is defined as projects receiving "up to 100 million euro in cover". Conservatively we have included this as 50 million euros even though it could be up to 100 million since the lower category -- category 2 is for "up to 50 million euros). We converted to USD using the rate at the end of March since no exact date has been provided. </t>
  </si>
  <si>
    <t>Israel Electric Corporation LTD (IEC)</t>
  </si>
  <si>
    <t>Modernisation of Israeli coal-fired power plants</t>
  </si>
  <si>
    <t>https://www.kfw-ipex-bank.de/International-financing/KfW-IPEX-Bank/Presse/Pressemitteilungen/Pressemitteilungsdetails_125760.html</t>
  </si>
  <si>
    <t>Renovation &amp; Retrofitting of Electro Static Precipitators</t>
  </si>
  <si>
    <t>http://www.thehindu.com/business/Industry/ntpc-ties-up-95-m-euro-loan-facility-with-kfw/article4860075.ece</t>
  </si>
  <si>
    <t>"A German Exporter"</t>
  </si>
  <si>
    <t>Mining of Coal</t>
  </si>
  <si>
    <t>Mouda Thermal Power Plant in Maharashtra</t>
  </si>
  <si>
    <t>http://www.thehindu.com/business/Industry/ntpc-ties-up-55-m-euro-loan-with-kfw/article5474669.ece</t>
  </si>
  <si>
    <t>Coking plants: coke oven machines including spare parts</t>
  </si>
  <si>
    <t>Parliamentary Inquiry. 32m euros</t>
  </si>
  <si>
    <t>Coal-fired power plants:  steam generators in units of the Bitola power plant</t>
  </si>
  <si>
    <t>Parliamentary Inquiry. 28 million euros</t>
  </si>
  <si>
    <t>Construction of a new district heating system in Linxia</t>
  </si>
  <si>
    <t>Coal - Heating</t>
  </si>
  <si>
    <t>avg exchange rate for 2014 1.329
German Federal Ministry for Economic Affairs and Energy, (2015)</t>
  </si>
  <si>
    <t xml:space="preserve">Modernisation of a district heating system in Jinzhong </t>
  </si>
  <si>
    <t>Energy Sector Programme III (district heating)</t>
  </si>
  <si>
    <t>Coalmining machinery: conversion of the air cooling system</t>
  </si>
  <si>
    <t>South Korea</t>
  </si>
  <si>
    <t>Parliamentary Inquiry. 4m euros</t>
  </si>
  <si>
    <t>Coalmining machinery: roller loader including additional equipment</t>
  </si>
  <si>
    <t>Coal-fired power plants: sprocket plus fixtures</t>
  </si>
  <si>
    <t>HuDe GmbH, Erkelenz</t>
  </si>
  <si>
    <t>Kudgi Super Thermal Power Project</t>
  </si>
  <si>
    <t>http://www.jbic.go.jp/en/information/press/press-2013/0127-17508</t>
  </si>
  <si>
    <t>The AGA website lists this as a "category 2" project which is defined as projects receiving "up to 50 million euro in cover". Conservatively we have included this as 15 million euros even though it could be up to 50 million since the lower category -- category 1 is for "up to 15 million euros).</t>
  </si>
  <si>
    <t>Coke oven</t>
  </si>
  <si>
    <t>http://www.agaportal.de/pages/aga/projektinformationen/liste.html</t>
  </si>
  <si>
    <t>The AGA website lists KfW as a project financier.</t>
  </si>
  <si>
    <t>Export Import Bank of India</t>
  </si>
  <si>
    <t>Gujarat NRE Coking Coal Ltd</t>
  </si>
  <si>
    <t>Coal Mining - New</t>
  </si>
  <si>
    <t>Gujarat NRE Cokin Coal Mine Capex facility 2013</t>
  </si>
  <si>
    <t>https://ijglobal.com/data/transaction/28382/gujarat-nre-cokin-coal-mine-capex-facility-2013</t>
  </si>
  <si>
    <t>Proceeds of $106.5m are part-financing the Gujarat NRE Cokin Coal Mine project in Wongawilli, NSW, Australia.</t>
  </si>
  <si>
    <t>Servizi Assicurativi del Commercio Estero (SACE)</t>
  </si>
  <si>
    <t>Mexico</t>
  </si>
  <si>
    <t>Coeclerici Group</t>
  </si>
  <si>
    <t>Floating Transfer Stations for Transshipping Coal from East Kalimantan Mines</t>
  </si>
  <si>
    <t>http://www.sace.it/GruppoSACE/export/sites/default/download/comunicati/2013/20130129-CS_-Coeclerici_SACE_Indonesia_EN.pdf</t>
  </si>
  <si>
    <t>In response to an inquiry from NRDC on the values staff at SACE pointed out that this loan is for "shipping equipment". However, the investment documentation from SACE clearly states that this is a project for shipping coal so we have documented as a project to support coal mining - exports. This is a similar methodology as we have followed with other investments -- where the investment is directly supportive of a coal project even if the project doesn't explicitly cover a coal mine or coal power plant</t>
  </si>
  <si>
    <t xml:space="preserve">Punta Catalina
Implementation of a 752
MW (376 MW x 2 unit)
coal-fired thermal power
plant
</t>
  </si>
  <si>
    <t>http://www.sace.it/en/about-us/environmental-impact/single-environmental-news/environmental-and-social-impact-assessment-availability-for-the-punta-catalina-project</t>
  </si>
  <si>
    <t>Dominican Republic</t>
  </si>
  <si>
    <t>Coal-to-liquids
Annual emissions data provided by SACE</t>
  </si>
  <si>
    <t>http://www.sace.it/docs/default-source/report-ambiente/op-2015_eng.pdf?sfvrsn=4</t>
  </si>
  <si>
    <t>Japan</t>
  </si>
  <si>
    <t>Nippon Export and Investment Insurance (NEXI)</t>
  </si>
  <si>
    <t>Japan Bank for International Cooperation (JBIC)</t>
  </si>
  <si>
    <t>Japan International Cooperation Agency (JICA)</t>
  </si>
  <si>
    <t>Government of Vietnam</t>
  </si>
  <si>
    <t>http://sekitan.jp/jbic/wp-content/uploads/2014/01/Lists-of-Approved-Coal-Investments-by-JBIC-April-2015.pdf</t>
  </si>
  <si>
    <t>http://www.jbic.go.jp/en/information/press/press-2014/0717-25305</t>
  </si>
  <si>
    <t>Colombia</t>
  </si>
  <si>
    <t>MC Finance Australia Pty Ltd (Subsidary of Mitsubishi Corporation)</t>
  </si>
  <si>
    <t>Caval Ridge Coal Mine Development Project</t>
  </si>
  <si>
    <t>http://www.jbic.go.jp/en/information/press/press-2012/0327-7392</t>
  </si>
  <si>
    <t>PT PLN (Persero)</t>
  </si>
  <si>
    <t>Indramayu Coal Fired Power Plant Project</t>
  </si>
  <si>
    <t>http://www.jica.go.jp/english/news/press/2012/130328_02.html</t>
  </si>
  <si>
    <t>http://www.jica.go.jp/english/our_work/social_environmental/id/asia/southeast/indonesia_a02.htmlJICA Website</t>
  </si>
  <si>
    <t>Mitsubishi Corporation</t>
  </si>
  <si>
    <t>Cochrane Coal-fired Power Project</t>
  </si>
  <si>
    <t>http://www.nexi.go.jp/topics/en/newsrelease/004735.html</t>
  </si>
  <si>
    <t>Empresa Electrica Cochrane SpA (a subsidiary of Mitsubishi Corporation)</t>
  </si>
  <si>
    <t>Cochrane Coal-Fired Power Project</t>
  </si>
  <si>
    <t>http://www.jbic.go.jp/en/information/press/press-2012/0328-7393</t>
  </si>
  <si>
    <t>Bank group finances Chile's Cochrane power project. (2013). Trade Finance, 16(3), 18.</t>
  </si>
  <si>
    <t>Idemitsu Australia Resources Pty Ltd</t>
  </si>
  <si>
    <t>Boggabri Coal Mine Expansion Project</t>
  </si>
  <si>
    <t>https://www.jbic.go.jp/en/information/press/press-2013/0516-7513</t>
  </si>
  <si>
    <t>http://www.jbic.go.jp/en/information/press/press-2013/0822-7553</t>
  </si>
  <si>
    <t>http://sekitan.jp/jbic/wp-content/uploads/2014/01/Lists-of-Approved-Coal-Investments-by-JBIC-April-2015.pdf
https://www.jetro.go.jp/world/asia/vn/petrovietnam/pdf/201109_II-1.pdf</t>
  </si>
  <si>
    <t>Yakutugol coal mine -Electric Mining Shovel</t>
  </si>
  <si>
    <t>http://www.exim.gov/newsandevents/boardmeetings/board/boardmeeting-agenda.cfm?pageID=37064</t>
  </si>
  <si>
    <t>(iii) Tender announcement of initial procurement package for international competitive bidding on project construction:
Procurement package titles: Installation of Turbine Governor and Distributed Control System, Installation of Boiler Soot Blower and Mill Roller of Pulverized Coal Firing Equipment</t>
  </si>
  <si>
    <t>Sumitomo Mitsui Banking Corporation</t>
  </si>
  <si>
    <t>Kudgi Super Thermal Power Project (2400MW)</t>
  </si>
  <si>
    <t>Toshiba</t>
  </si>
  <si>
    <t>Government of Bangladesh</t>
  </si>
  <si>
    <t>Matarbari Ultra Super Critical Coal-Fired Power Project</t>
  </si>
  <si>
    <t>http://www.jica.go.jp/english/news/press/2014/140616_02.html</t>
  </si>
  <si>
    <t>The Bank of Tokyo-Mitsubishi UFJ, Ltd</t>
  </si>
  <si>
    <t>http://sekitan.jp/jbic/wp-content/uploads/2014/01/Lists-of-Approved-Coal-Investments-by-JBIC-April-2015.pdf
http://www.sourcewatch.org/index.php/Vinh_Tan_power_station</t>
  </si>
  <si>
    <t>State Bank of India</t>
  </si>
  <si>
    <t>Meja Urja Nigam Private Limited (MUNPL)</t>
  </si>
  <si>
    <t>https://www.jbic.go.jp/en/information/press/press-2014/0902-28881</t>
  </si>
  <si>
    <t>http://www.sourcewatch.org/index.php/Meja_Thermal_Power_Project#cite_note-ip-4
http://sekitan.jp/jbic/wp-content/uploads/2014/01/Lists-of-Approved-Coal-Investments-by-JBIC-April-2015.pdf</t>
  </si>
  <si>
    <t>Meja Supercritical Coal-fired Power Plant</t>
  </si>
  <si>
    <t>http://nexi.go.jp/topics/newsrelease/005256.html</t>
  </si>
  <si>
    <t>http://sekitan.jp/jbic/wp-content/uploads/2015/02/jbiccoallisten.pdf</t>
  </si>
  <si>
    <t>Safi Energy Company S.A. AND Nareva Holding S.A. (Nareva)</t>
  </si>
  <si>
    <t>Safi Coal Fired Power Generation Project</t>
  </si>
  <si>
    <t>https://www.jbic.go.jp/en/information/press/press-2014/0919-29158</t>
  </si>
  <si>
    <t>http://www.sourcewatch.org/index.php/Safi_power_station Loan agreements, in project financing, totaling up to approximately USD718 million and EUR147 million (JBIC portions) - Ultra Super Critical Coal-fired Power Plant</t>
  </si>
  <si>
    <t>The Bank of Tokyo-Mitsubishi UFJ, Ltd., Sumitomo Mitsui Banking Corporation, The Mizuho Bank Ltd., Sumitomo Mitsui Trust Bank, Limited, and Islamic Development Bank</t>
  </si>
  <si>
    <t>Safi Ultra Supercritical Coal-fired Power Plant</t>
  </si>
  <si>
    <t>http://nexi.go.jp/topics/newsrelease/005476.html</t>
  </si>
  <si>
    <t>Thai Binh Power Plant and Transmission Lines (II)</t>
  </si>
  <si>
    <t>http://www.jica.go.jp/english/news/press/2014/150130_01.html</t>
  </si>
  <si>
    <t>http://www.jbic.go.jp/en/information/press/press-2014/0331-37582</t>
  </si>
  <si>
    <t>Coal Power Plant - Expansion</t>
  </si>
  <si>
    <t>USD 274 million (project description indicates NEXI cover applies to only portion financed by private institutions, so given total financed amount of $683 million, minus JBIC portion of $409 million, NEXI coverage would be for $274 million)</t>
  </si>
  <si>
    <t>http://www.jbic.go.jp/en/information/press/press-2014/0331-37582JAECES Data</t>
  </si>
  <si>
    <t xml:space="preserve">The loan is intended to finance EVN's purchase of a whole set of machineries and equipment including steam turbines and generators (manufactured by TOSHIBA CORPORATION) by engineering, procurement and construction ("EPC") basis from SUMITOMO CORPORATION for a super critical coal-fired power plant (688 MW x 1 unit) to be built in the Duyen Hai district, Tra Vinh Province, in the southern part of Vietnam.
</t>
  </si>
  <si>
    <t>Thai Binh Thermal Power Plant and Transmission Lines Construction Project (III)</t>
  </si>
  <si>
    <t>http://www.jica.go.jp/english/news/press/2015/150706_01.html</t>
  </si>
  <si>
    <t>Chittagong Main Power Grid Strengthening Project
Dhaka-Chittagong Main Power Grid Strengthening Project</t>
  </si>
  <si>
    <t>http://www.jica.go.jp/english/news/press/2015/151214_01.html</t>
  </si>
  <si>
    <t>43,769 million yen</t>
  </si>
  <si>
    <t>http://energybangla.com/ecnec-approves-dhaka-chittagong-main-power-grid-project/</t>
  </si>
  <si>
    <t>Russian Development Bank (VEB)</t>
  </si>
  <si>
    <t xml:space="preserve"> 
Mongolian Development Bank</t>
  </si>
  <si>
    <t>Ulaanbaatar Thermal Power Plant No. 4 Project</t>
  </si>
  <si>
    <t>http://www.sourcewatch.org/index.php/Ulaanbaatar_Thermal_Power_Plant_No._4</t>
  </si>
  <si>
    <t xml:space="preserve"> 
http://www.veb.ru/en/press/news/?id_19=100787&amp;filter_year_20=2015&amp;from_20=8 http://veb.ru/common/upload/files/veb/reports/annual/VEB_Annual_2015_eng.pdf (pp. 19 &amp; 35)</t>
  </si>
  <si>
    <t>Mechel</t>
  </si>
  <si>
    <t>Elga Coal Complex</t>
  </si>
  <si>
    <t>http://www.tradefinancemagazine.com/Article/3256567/Search/Results/Update-VEB-board-approves-Mechel-project.html?Keywords=coal</t>
  </si>
  <si>
    <t>https://tradefinanceanalytics.com/Articles/3256567/Update-VEB-board-approves-Mechel-project.html?Keywords=coal&amp;Keywords=coal</t>
  </si>
  <si>
    <t>Saudi Arabia</t>
  </si>
  <si>
    <t>Development Bank of Southern Africa</t>
  </si>
  <si>
    <t xml:space="preserve"> 
Nava Bharat (65%); ZCCM Investment Holdings (35%)</t>
  </si>
  <si>
    <t>Industrial Development Corporation of South Africa</t>
  </si>
  <si>
    <t>Export-Import Bank of Korea (Kexim)</t>
  </si>
  <si>
    <t>PetroVietnam</t>
  </si>
  <si>
    <t>https://www.koreaexim.go.kr/site/program/board/basicboard/list?boardtypeid=18&amp;menuid=002002004005</t>
  </si>
  <si>
    <t>Korea Trade Insurance Corporation (K-sure)</t>
  </si>
  <si>
    <t>http://www.koreaexim.go.kr/en/banking/export/loan_03_03.jsp</t>
  </si>
  <si>
    <t>Daelim Industrial</t>
  </si>
  <si>
    <t>Thai Binh 2 Coal Power Plant</t>
  </si>
  <si>
    <t>The loan agreements include a $330 million direct loan with KEXIM, $270 million KEXIM guaranteed loan with the Bank of Tokyo-Mitsubishi UFJ, Ltd (BTMU), CITI bank, HSBC bank, Mizuho bank, Standard Chartered Bank (SCB), and Oversea Chinese Banking Corporation (OCBC)" -- see: http://vietnamnews.vn/economy/248733/thermal-power-project-warms-up.html ; Power plant size. See: http://www.aurecongroup.com/en/projects/resources/vinh-tan-2-coal-fired-power-plant.aspx</t>
  </si>
  <si>
    <t>Doosan Heavy Industries and Construction</t>
  </si>
  <si>
    <t>Vinh Tan 4 Coal-Fired Power Plant Project</t>
  </si>
  <si>
    <t>$300 million loan and $155 million coverage; Kexim hasn't provided public information on how much funding they have provided this project. A public news story reports that the total project cost is $1.36 billion of which 85% of the funding is provided by Kexim, K-sure, JBIC, and NEXI. Since we have no way to break the value between these 4 institutions we have given them an equal share of the project (adjusted for the 85% supported by these institutions). We have applied the total value of the direct loan and the loan guarantee.</t>
  </si>
  <si>
    <t xml:space="preserve">https://www.ksure.or.kr/jsp/common/FileDown.jsp?f_idx=1383097284602.pdf&amp;f_sz=542506
https://tradefinanceanalytics.com/Articles/3436066/Deals-of-the-Year-2014-Asia-Pacific-Winners.html
</t>
  </si>
  <si>
    <t>Halkbank</t>
  </si>
  <si>
    <t xml:space="preserve"> 
Can Komur (subsidiary of Odas Elektrik)</t>
  </si>
  <si>
    <t>Canakkale Thermal Power Plant (330MW)</t>
  </si>
  <si>
    <t>https://ijglobal.com/data/transaction/35062/canakkale-thermal-power-plant-330mw http://globalenergyobservatory.org/form.php?pid=43065</t>
  </si>
  <si>
    <t>United Kingdom</t>
  </si>
  <si>
    <t>Royal Bank of Scotland</t>
  </si>
  <si>
    <t>Coal Mining - Existing</t>
  </si>
  <si>
    <t>Coal Power Plant and Mining - Existing</t>
  </si>
  <si>
    <t>Ratch Australia Corporation Limited</t>
  </si>
  <si>
    <t>Ratch Australia Refinancing 2013</t>
  </si>
  <si>
    <t>Refinancing facility for a portfolio of power assets in Australia. RATCH-Australia is owned by a major Thai power generation company, Ratchaburi Electricity Generating Holding PCL and Transfield Services Limited, an ASX listed engineering services company. RATCH-Australia is an independent power producer in Australia and owns a portfolio of power generation assets totalling 815 MW. These consist of ownership or an interest in four power stations and three wind farms. All of the assets are owned on a long term basis.</t>
  </si>
  <si>
    <t>Siberian Coal Energy Company</t>
  </si>
  <si>
    <t>SUEK Corporate Facility Refinancing</t>
  </si>
  <si>
    <t>https://ijglobal.com/data/transaction/28486/suek-corporate-facility-refinancing</t>
  </si>
  <si>
    <t>The facility will be used for refinancing of existing debt and gereal corporate purposes. SUEK Siberian Coal Energy Company is the leading Russian coal company, the largest producer and supplier of coal in the nation, and one of the major global players in its sector.</t>
  </si>
  <si>
    <t>BHP Billiton</t>
  </si>
  <si>
    <t>BHP Billiton Refinancing</t>
  </si>
  <si>
    <t>https://ijglobal.com/data/transaction/33041/bhp-billiton-refinancing-2014</t>
  </si>
  <si>
    <t>The proceeds will be used to refinance the existing facilities of BHP Billiton, a mining company in Australia. The refinancing resulted in the cancellation of existing $5bn and $1bn multicurrency credit facilities. The financing includes a revolving facility of $6000m arranged by a consortium of 29 banks. The facility has a tenure of 5 years and has two one-year extension options. It will used for general corporate purposes.</t>
  </si>
  <si>
    <t>Oyu Tolgoi LLC</t>
  </si>
  <si>
    <t>EXIM RESPONSE: The Oyu Tolgoi mine project no longer has an associated power plant, coal or otherwise.  The mine will obtain power from another source.  EXIM’s only involvement remains with the development of the copper/gold mine itself.</t>
  </si>
  <si>
    <t>http://www.exim.gov/about/library/reports/annualreports/2013/FY2013-long-term-guarantees-auth.pdf
http://action.sierraclub.org/site/DocServer/Tolgoi_assessment_Final.pdf?docID=11801</t>
  </si>
  <si>
    <t>Zao Sberbank Leasing</t>
  </si>
  <si>
    <t>http://www.mechel.com/sector/mining/yakutugol/</t>
  </si>
  <si>
    <t>Total</t>
  </si>
  <si>
    <t>Engro Powergen Limited (50.1%), Habib Bank Limited (9.5%), Liberty Mills Limited (5.4%), China Machinery Engineering Corporation (35%)</t>
  </si>
  <si>
    <t>https://ijglobal.com/data/transaction/32419/thar-coal-mine-and-coal-fired-power-plant-660mw-phase-1</t>
  </si>
  <si>
    <t>The financing will be used for the development of a 660MW mine-mouth coal-fired power plant in Tharparkar, Sindh, Pakistan. This is the first phase of Thar project and in phase two will be added another 660MW power to the plant facility.</t>
  </si>
  <si>
    <t xml:space="preserve">
http://www.dawn.com/news/1226912
http://www.ccb.com/cn/ccbtoday/media/20160330_1459320465.html;
http://news.xinhuanet.com/world/2016-04/12/c_128886142.htm;</t>
  </si>
  <si>
    <t>Majority State-Owned Banks</t>
  </si>
  <si>
    <t>Coal - other</t>
  </si>
  <si>
    <t>Japan Oil Gas and Metals National Corporation</t>
  </si>
  <si>
    <t>PT Megah Pratama Resources</t>
  </si>
  <si>
    <t xml:space="preserve">http://www.jogmec.go.jp/english/news/release/news_06_000017.html
</t>
  </si>
  <si>
    <t>Coal - Exploration</t>
  </si>
  <si>
    <t xml:space="preserve"> 
PT PLN (Persero)</t>
  </si>
  <si>
    <t>Expansion of Lontar Coal-Fired Power Plant</t>
  </si>
  <si>
    <t>http://www.sumitomocorp.co.jp/news/detail/id=28906</t>
  </si>
  <si>
    <t>http://www.nexi.go.jp/en/topics/newsrelease/2016030802.html</t>
  </si>
  <si>
    <t>Approved in 2016 - included as "pending" project for tabulation purposes since we do not have a space for 2016 projects.</t>
  </si>
  <si>
    <t>Korea Development Bank</t>
  </si>
  <si>
    <t>Government of Sindh (54.7%), Engro Powergen Limited (11.9%), Thal Limited (11.9%), Habib Bank Limited (9.5%), Hub Power Company Ltd (8.0%), China Machinery Engineering Corporation (4.0%); </t>
  </si>
  <si>
    <t>Thar Coal Block II Mine Phase I</t>
  </si>
  <si>
    <t>https://ijglobal.com/data/transaction/36329/thar-coal-block-ii-mine</t>
  </si>
  <si>
    <t>Java-7 Coal-Fired Power Plant (2000MW)</t>
  </si>
  <si>
    <t>https://ijglobal.com/data/transaction/32275/java-7-coal-fired-power-plant-2000mw-ppp</t>
  </si>
  <si>
    <t>Plomin C Coal-fired power plants</t>
  </si>
  <si>
    <t>Croatia</t>
  </si>
  <si>
    <t xml:space="preserve">Parliamentary Inquiry March 2016. 246 euros; 
The project was cancelled in June 2016. The power plant size was supposed to be 500MW with $262,540,021  financing. </t>
  </si>
  <si>
    <t>PT Bhimasena Power Indonesia (BPI) - a joint venture by PT Adaro Energy Tbk and Itochu Corp and Electric Power Development Co (J-Power)</t>
  </si>
  <si>
    <t>http://www.jbic.go.jp/en/information/press/press-2016/0603-48595</t>
  </si>
  <si>
    <t>https://ijglobal.com/articles/100054/central-java-financial-close-slips-again</t>
  </si>
  <si>
    <t>http://af.reuters.com/article/energyOilNews/idAFL4N18Y264
http://www.itochu.co.jp/ja/news/2011/111007.html</t>
  </si>
  <si>
    <t>http://www.theindependent.co.zw/2016/06/16/zims-us2bn-solar-projects-resumes-two-years/</t>
  </si>
  <si>
    <t>https://ijglobal.com/data/transaction/32399/sasec-zimbabwe-coal-project</t>
  </si>
  <si>
    <t>Coal Power Generation Company</t>
  </si>
  <si>
    <t>Toyo-Thai coal-fired power plant (1280MW)</t>
  </si>
  <si>
    <t>Myanmar</t>
  </si>
  <si>
    <t xml:space="preserve">Based on IJGlobal article, it is assumed that JBIC will finance 80% of $2bn debt, or $1.6 bn: “Toyo-Thai plans to set up a holding company through existing subsidiary Toyo Thai Power called Toyo-Thai Power Myanmar to act as the project company. It is planning to mandate the Japan Bank for International Cooperation (JBIC) for roughly 80% of the $2bn debt required for the project.” </t>
  </si>
  <si>
    <t>Dongfang Electric</t>
  </si>
  <si>
    <t>http://www.hkexnews.hk/listedco/listconews/sehk/2016/0122/LTN20160122907.pdf</t>
  </si>
  <si>
    <t xml:space="preserve">Coal Power Plant - New </t>
  </si>
  <si>
    <t>2640MW plant. Power plant size is equally divided by the two investors, China ExIm and Industrial and Commercial Bank of China. Article show conflicting cost of plant. Decided on lower amount ($3B USD), and divided equally between two investors.From Bankwatch</t>
  </si>
  <si>
    <t>http://menafn.com/1094851346/Al-Sisi-Electricity-Ministry-to-finalise-contract-with-Shanghai-Electric-for-coal-fired-power-plant-in-September</t>
  </si>
  <si>
    <t>Naftogaz</t>
  </si>
  <si>
    <t>Kyiv and Lviv coal plants</t>
  </si>
  <si>
    <t>http://www.forbes.com/sites/kenrapoza/2016/04/22/even-ukraine-is-turning-to-the-chinese-for-money/#2fdc28011319</t>
  </si>
  <si>
    <t>https://ijglobal.com/data/transaction/35706/maitree-coal-fired-power-power-plant-1320mw</t>
  </si>
  <si>
    <t>Coal Power - New</t>
  </si>
  <si>
    <t>http://bankwatch.org/news-media/blog/public-bosnia-herzegovina-pay-shaky-economics-tuzla-7-coal-plant-will-officials-take</t>
  </si>
  <si>
    <t xml:space="preserve">Loan conditionality under negotiation. There is a 50 mil EUR difference between the figures for preferred buyers' credit and buyers' credit </t>
  </si>
  <si>
    <t>Marubeni, KEPCO</t>
  </si>
  <si>
    <t>Nghi Son 2 coal-fired power plant (1200MW)</t>
  </si>
  <si>
    <t>https://ijglobal.com/data/transaction/28855/nghi-son-2-coal-fired-power-plant-1200mw</t>
  </si>
  <si>
    <t>China National Electric Engineering Company</t>
  </si>
  <si>
    <t>http://renewables.seenews.com/news/comsar-energy-to-invest-some-1-0-bln-euro-in-bosnia-s-tpp-ugljevik-3-hpp-mrsovo-media-324567#</t>
  </si>
  <si>
    <t>http://www.freetradezoneconsulting.com/eng.php?cat_code=sewyxx&amp;art_id=809</t>
  </si>
  <si>
    <t>Sumitomo  Corp.</t>
  </si>
  <si>
    <t>https://ijglobal.com/articles/94256/jbic-debt-for-vietnams-van-phong-power</t>
  </si>
  <si>
    <t>China Gezhouba Group Company</t>
  </si>
  <si>
    <t>Malawi</t>
  </si>
  <si>
    <t>Jambi Province 2-unit mine-mouth coal-fired power plant  (400MW)</t>
  </si>
  <si>
    <t>http://www.sourcewatch.org/index.php/Sinar_Mas_Jambi_power_station</t>
  </si>
  <si>
    <t>Adaro Energy</t>
  </si>
  <si>
    <t>Marubeni, Korea Midland Power, Samtan and PT Indika Energy</t>
  </si>
  <si>
    <t>Cirebon IPP expansion Phase 2 (1000MW)</t>
  </si>
  <si>
    <t>http://www.jbic.go.jp/en/efforts/environment/projects/49263</t>
  </si>
  <si>
    <t>https://ijglobal.com/data/transaction/34565</t>
  </si>
  <si>
    <t>Financing</t>
  </si>
  <si>
    <t xml:space="preserve">Export-Import Bank of Korea (Kexim) </t>
  </si>
  <si>
    <t>Under construction</t>
  </si>
  <si>
    <t>Vietnam Electricity Group (EVN)</t>
  </si>
  <si>
    <t>https://ijglobal.com/data/transaction/31707/vinh-tan-4-coal-fired-thermal-power-plant-1200mw</t>
  </si>
  <si>
    <t>Marubeni, Posco</t>
  </si>
  <si>
    <t>Morupule coal-fired power plant (300MW)</t>
  </si>
  <si>
    <t>http://www.koreatimes.co.kr/www/news/biz/2015/11/123_192083.html</t>
  </si>
  <si>
    <t>Coal-fired power plant in Moatize (300MW)</t>
  </si>
  <si>
    <t xml:space="preserve">The total finance amount is $500000000; total power plant size is 300 MW.
Hasn't been decided eventually who will finance the project. Current candidates include KEXIM and African Development Bank. For the purpose of our calculation, the total finance and power plant size are evenly divided among KEXIM and African Development Bank, each with $250000000. 
African Development Bank's finance are divided among its members based on their shares in the bank. The power plant size and emission responsible of African Development Bank are divided evenly among its members. </t>
  </si>
  <si>
    <t>https://ijglobal.com/data/transaction/28563</t>
  </si>
  <si>
    <t xml:space="preserve">Suralaya Power Plant </t>
  </si>
  <si>
    <t>PENDING avg exchange rate for 2014 1.329; (environmental measure: deployment of modern environmental protection technologies for waste gas purification, and rehabilitation of generators, turbines and boilers)</t>
  </si>
  <si>
    <t>Nacala Rail and Port Project</t>
  </si>
  <si>
    <t>Ptolemaida V Coal-fired Power Plant</t>
  </si>
  <si>
    <t>Coal-fired power plant: steam turbines and generators</t>
  </si>
  <si>
    <t>Parliamentary Inquiry March 2016. 197 euros</t>
  </si>
  <si>
    <t>IJGlobal article indicates prospective JBIC and NEXI participation.
$800m total project cost; Morupule B Phase II Units 5 &amp; 6; subcritical</t>
  </si>
  <si>
    <t xml:space="preserve">http://www.jbic.go.jp/en/efforts/environment/projects/48375 </t>
  </si>
  <si>
    <t>Zimbabwe Power Compant</t>
  </si>
  <si>
    <t>Bulawayo Thermal Power Plant Rehabilitation</t>
  </si>
  <si>
    <t>https://ijglobal.com/data/transaction/34998/bulawayo-thermal-power-plant-90mw-rehabilitation</t>
  </si>
  <si>
    <t>The financing will be used to rehabilitate and upgrade Bulawayo Thermal Power Station in Zimbabwe. The plant initially had an installed capacity of 120MW, but after a refurbishment in 1999 the capacity was reduced to  90MW. The Zimbabwe Power Company (ZPC) will repower the plant and will improve the energy efficiency. The repowering works would add 60MW onto the grid, as the station is only producing around 30MW from its installed capacity.</t>
  </si>
  <si>
    <t>Coal Processing: Technological equipment</t>
  </si>
  <si>
    <t>Parliamentary Inquiry March 2016. 76m euros</t>
  </si>
  <si>
    <t>Construction of a new district heating system (Energy Efficiency and Renewables Programme – Phase IV)</t>
  </si>
  <si>
    <t>Coal-fired district heating</t>
  </si>
  <si>
    <t>PENDING avg exchange rate for 2014 1.329</t>
  </si>
  <si>
    <t xml:space="preserve">Nikola Tesla A Power Plant </t>
  </si>
  <si>
    <t>PENDING avg exchange rate for 2014 1.329; (environmental measure: modernisation of an ash disposal system)</t>
  </si>
  <si>
    <t>Coal-fired power plants: control system and field instrumentation</t>
  </si>
  <si>
    <t>Parliamentary Inquiry March 2016. 42 euros</t>
  </si>
  <si>
    <t>Efficiency and environmental measures in the Mongolian power plant fleet</t>
  </si>
  <si>
    <t>Coal-fired power plants: core components for flue gas cleaning system of the Aghios Dimitrios power plant</t>
  </si>
  <si>
    <t>Parliamentary Inquiry March 2016. 22 euros</t>
  </si>
  <si>
    <t>Coal-fired power plants: pipes to equip vessels</t>
  </si>
  <si>
    <t>Parliamentary Inquiry March 2016. 20 euros</t>
  </si>
  <si>
    <t xml:space="preserve">Coalmining machinery: crusher, spreader, portal scraper, equipment </t>
  </si>
  <si>
    <t>Parliamentary Inquiry March 2016. 18m euros</t>
  </si>
  <si>
    <t>Parliamentary Inquiry March 2016. 16m euros</t>
  </si>
  <si>
    <t>ACWA Power</t>
  </si>
  <si>
    <t>Parliamentary Inquiry March 2016. 4m euros</t>
  </si>
  <si>
    <t>Parliamentary Inquiry March 2016. 3m euros</t>
  </si>
  <si>
    <t>Parliamentary Inquiry March 2016. 2m euros</t>
  </si>
  <si>
    <t>Coal-fired power plants:  mixer for ash conditioning incl. services</t>
  </si>
  <si>
    <t>Parliamentary Inquiry March 2016. 1m euros</t>
  </si>
  <si>
    <t>Coalmining machinery: hydraulic control for shields</t>
  </si>
  <si>
    <t>Coalmining machinery: tracked loaders</t>
  </si>
  <si>
    <t>Coalmining machinery: pit prop and unlockable non-return valve</t>
  </si>
  <si>
    <t>Parliamentary Inquiry March 2016. 0.3m euros</t>
  </si>
  <si>
    <t>MHPS</t>
  </si>
  <si>
    <t>Tanda</t>
  </si>
  <si>
    <t>http://www.mhps.com/news/20150304.html</t>
  </si>
  <si>
    <t>Mitsui Co, Chubu EP, Toshiba</t>
  </si>
  <si>
    <t>Malaysia</t>
  </si>
  <si>
    <t>GDF Suez, Sojitz, POSCO and Newcom</t>
  </si>
  <si>
    <t>Ulaanbaatar CHP5 Power Plant (463.5MW)</t>
  </si>
  <si>
    <t>https://www.adb.org/projects/46915-014/main#project-pds</t>
  </si>
  <si>
    <t xml:space="preserve">The financing will be used for the construction of the CHP5 coal fired combined heat and power plant in Mongolia's capital, Ulaanbaatar. GDF Suez (30%), Sojitz(30%), POSCO(30%) and Newcom(10%) are the sponsors of the project.  The Central Region Electricity Transmission Company will be the offtaker for the power under a 25-year PPA, while the Central Region Electricity Transmission Company will purchase the heat. The total cost of the project is estimated at $1.2billion The operations are expected to begin in 2017.
Only the financers are known at this point. The specific amounts are unknown. </t>
  </si>
  <si>
    <t>https://ijglobal.com/data/transaction/31251/ulaanbaatar-chp5-power-plant</t>
  </si>
  <si>
    <t>USC</t>
  </si>
  <si>
    <t>Indramayu (1000MW)</t>
  </si>
  <si>
    <t xml:space="preserve">Ref No. is 14-084. </t>
  </si>
  <si>
    <t>http://www.nexi.go.jp/en/environment/information/index.html</t>
  </si>
  <si>
    <t xml:space="preserve">Ref No. is 14-082. </t>
  </si>
  <si>
    <t xml:space="preserve">The financing will be used for the construction of the CHP5 coal fired combined heat and power plant in Mongolia's capital, Ulaanbaatar. GDF Suez (30%), Sojitz(30%), POSCO(30%) and Newcom(10%) are the sponsors of the project.  The Central Region Electricity Transmission Company will be the offtaker for the power under a 25-year PPA, while the Central Region Electricity Transmission Company will purchase the heat. The total cost of the project is estimated at $1.2billion The operations are expected to begin in 2017.
EBRD RESPONSE; No decision/approval </t>
  </si>
  <si>
    <t>https://ijglobal.com/data/transaction/35185/song-hau-1-coal-fired-power-plant-1200mw</t>
  </si>
  <si>
    <t>Cirebon IPP expansion Phase 3 (1000MW)</t>
  </si>
  <si>
    <t>https://ijglobal.com/articles/100606/marubeni-signs-mou-for-cirebon-3-coal-fired</t>
  </si>
  <si>
    <t>The financing will be used for the third expansion of 1000MW of Cirebon independent coal-fired power plant, located next to the existing 660MW coal-fired Cirebon unit, which has been in operation since 2012. The plant is located in Indonesia's West Java province on Java Island. The sponsors of the project are: Marubeni, Korea Midland Power, Samtan and PT Indika Energi. The total costs of the construction of  the third 1,000MW coal-fired unit is estimated to be roughly $2 billion.</t>
  </si>
  <si>
    <t>Orion Power Khulna</t>
  </si>
  <si>
    <t>http://www.foe.org/news/news-releases/2016-06-over-150000-call-on-us-export-import-bank-to-reject-coal</t>
  </si>
  <si>
    <t>http://www.sourcewatch.org/index.php/Khulna_power_station_(Orion)</t>
  </si>
  <si>
    <t>https://ijglobal.com/data/transaction/33205/k-electric-port-qasim-coal-fired-power-plant-700mw</t>
  </si>
  <si>
    <t>http://www.jbic.go.jp/en/efforts/environment/projects/48649</t>
  </si>
  <si>
    <t xml:space="preserve">JBIC and NEXI </t>
  </si>
  <si>
    <t>TBD</t>
  </si>
  <si>
    <t>http://www.nexi.go.jp/en/environment/a/2016061404.html</t>
  </si>
  <si>
    <t>One Energy (CLP Group and Mitsubishi Corporation)</t>
  </si>
  <si>
    <t>Vinh Tan 3 Coal Power Project (1980MW)</t>
  </si>
  <si>
    <t xml:space="preserve">Export Credit Insurance Corporation of South Africa </t>
  </si>
  <si>
    <t>Supply and instilling a coal dense media separation plant</t>
  </si>
  <si>
    <t>http://www.ecic.co.za/About-Us/Projects</t>
  </si>
  <si>
    <t>http://www.exim.gov/policies/ex-im-bank-and-the-environment/pending-transactions</t>
  </si>
  <si>
    <t>Overseas Private Investment Corporation</t>
  </si>
  <si>
    <t>International Finance Corporation</t>
  </si>
  <si>
    <t>Islamic Development Bank</t>
  </si>
  <si>
    <t>Eksport Kredit Fonden</t>
  </si>
  <si>
    <t>Proparco</t>
  </si>
  <si>
    <t>FMO</t>
  </si>
  <si>
    <t>Clean Technology Fund</t>
  </si>
  <si>
    <t>Canadian Climate Fund</t>
  </si>
  <si>
    <t>Agence Francaise de Development</t>
  </si>
  <si>
    <t>USTDA</t>
  </si>
  <si>
    <t>Export-Import Bank of Malaysia</t>
  </si>
  <si>
    <t>Triconboston Consulting Corporation</t>
  </si>
  <si>
    <t>Ostro Andhra Wind Private Ltd.</t>
  </si>
  <si>
    <t>PT UPC Sidrap Bayu Energi</t>
  </si>
  <si>
    <t>PT Supreme Energy Rantau Dedap</t>
  </si>
  <si>
    <t>Renew Rajasthan</t>
  </si>
  <si>
    <t>Gürmat Elektrik Üretim A.Ş</t>
  </si>
  <si>
    <t>Gul Ahmed Wind Power Limited</t>
  </si>
  <si>
    <t>Tenaga Generasi Limited</t>
  </si>
  <si>
    <t>Metro Power Company Limited</t>
  </si>
  <si>
    <t>Metro Power Company</t>
  </si>
  <si>
    <t>PT Tanggamus Electric Power</t>
  </si>
  <si>
    <t>Chaiyaphum Wind Farm Company</t>
  </si>
  <si>
    <t>Azure Clean Energy Private Ltd</t>
  </si>
  <si>
    <t>PT Rajamandala Electric Power</t>
  </si>
  <si>
    <t>Zorlu Jeotermal Enerji Elektrik Ãœretim A.S.</t>
  </si>
  <si>
    <t xml:space="preserve">Renew Wind Energy (Devgarh) Private Limited </t>
  </si>
  <si>
    <t xml:space="preserve"> Foundation Wind Energy II Limited</t>
  </si>
  <si>
    <t>Solarco</t>
  </si>
  <si>
    <t>Sarulla Operations LTD (SOL)</t>
  </si>
  <si>
    <t>Telangana PV Solar Plant (100MW)</t>
  </si>
  <si>
    <t>TBCC Thatta District Wind Complex (150MW)</t>
  </si>
  <si>
    <t>Jeneponto 1 Wind Farm (62.5MW)</t>
  </si>
  <si>
    <t>Ostro Andhra Wind Farm (98.7MW)</t>
  </si>
  <si>
    <t>Mytrah Energy Additional Facility</t>
  </si>
  <si>
    <t>Sidrap Wind Farm (75MW)</t>
  </si>
  <si>
    <t>Continuum Madhya Pradesh Wind Farm (170MW)</t>
  </si>
  <si>
    <t>Canadian Solar Additional Facility 2016</t>
  </si>
  <si>
    <t>Rantau Dedap Geothermal Additional Facility</t>
  </si>
  <si>
    <t>Renew Wind II (100.8MW)</t>
  </si>
  <si>
    <t>Efeler Geothermal Project (170MW)</t>
  </si>
  <si>
    <t>ACME Solar Project (100MW)</t>
  </si>
  <si>
    <t>Baglar RES Wind Farm (77.5MW)</t>
  </si>
  <si>
    <t>Gul Ahmed Wind Power Plant (50MW)</t>
  </si>
  <si>
    <t>Khuti Kun Wind Farm (49.5MW)</t>
  </si>
  <si>
    <t>ThomasLloyd Renewable Portfolio Financing</t>
  </si>
  <si>
    <t>Metro Wind Farm (50MW)</t>
  </si>
  <si>
    <t>Metro Power Sindh Wind Farm (50MW)</t>
  </si>
  <si>
    <t>Semangka Hydroelectric Power (56.6MW)</t>
  </si>
  <si>
    <t>Chaiyaphum Wind Farm IPP (81MW)</t>
  </si>
  <si>
    <t>Green Infra Wind Farm Portfolio (182.4MW)</t>
  </si>
  <si>
    <t>Rantau Dedap Geothermal IPP (220MW)</t>
  </si>
  <si>
    <t>Azure Jodhpur Solar PV Plant (40MW)</t>
  </si>
  <si>
    <t>Rajamandala Hydroelectric Power Plant (47MW)</t>
  </si>
  <si>
    <t>Sarulla Geothermal Plant (330MW)</t>
  </si>
  <si>
    <t>Harpo Hydro Power Plant (35MW)</t>
  </si>
  <si>
    <t>Surajbari Wind Farms Project (170MW)</t>
  </si>
  <si>
    <t>Shirsuphal Solar Plant (50MW)</t>
  </si>
  <si>
    <t>AST Telecom Solar Corporate Facility 2014</t>
  </si>
  <si>
    <t>Alasehir Geothermal Plant in Manisa (30MW)</t>
  </si>
  <si>
    <t>Sapphire Wind Farm (49.5MW)</t>
  </si>
  <si>
    <t>Vaspet Wind Farm Financing (49.5MW)</t>
  </si>
  <si>
    <t>Foundation Wind Energy Wind Farm I (50MW)</t>
  </si>
  <si>
    <t>Bangchak Solar PV (16MW)</t>
  </si>
  <si>
    <t>Kreung Isep Hydropower Project (10MW)</t>
  </si>
  <si>
    <t>Foundation Wind Energy Wind Farm II (50MW)</t>
  </si>
  <si>
    <t>Solarco PV Plants Financing (57MW)</t>
  </si>
  <si>
    <t>Recipient Country</t>
  </si>
  <si>
    <t>Andhra Pradesh</t>
  </si>
  <si>
    <t>Maharashtra</t>
  </si>
  <si>
    <t>Madhya Pradesh</t>
  </si>
  <si>
    <t>Karnataka</t>
  </si>
  <si>
    <t>Rajasthan</t>
  </si>
  <si>
    <t>Delhi</t>
  </si>
  <si>
    <t>Renewables</t>
  </si>
  <si>
    <t>Photovoltaic Solar</t>
  </si>
  <si>
    <t>Onshore Wind</t>
  </si>
  <si>
    <t>Onshore Wind,Photovoltaic Solar</t>
  </si>
  <si>
    <t>Geothermal</t>
  </si>
  <si>
    <t>Biomass,Photovoltaic Solar</t>
  </si>
  <si>
    <t>Small Hydro</t>
  </si>
  <si>
    <t>Andhra Pradesh, Karnataka, Madhya Pradesh, Punjab, Rajasthan</t>
  </si>
  <si>
    <t>Andaman and Nicobar, Andhra Pradesh, Arunachal Pradesh, Assam, Bihar, Chandigarh, Chhattisgarh, Dadra and Nagar Haveli, Daman and Diu, Delhi, Goa, Gujarat, Haryana, Himachal Pradesh, Jammu and Kashmir, Jharkhand, Karnataka, Kerala, Lakshadweep, Madhya Pradesh, Maharashtra, Manipur, Meghalaya, Mizoram, Nagaland, Odisha, Puducherry, Punjab, Rajasthan, Sikkim, Tamil Nadu, Tripura,Uttar Pradesh, Uttarakhand, West Bengal</t>
  </si>
  <si>
    <t>Andaman and Nicobar, Andhra Pradesh, Arunachal Pradesh, Assam, Bihar, Chandigarh, Chhattisgarh, Dadra and Nagar Haveli, Daman and Diu, Delhi, Goa, Gujarat, Haryana, Himachal Pradesh, Jammu and Kashmir, Jharkhand, Karnataka, Kerala, Lakshadweep, Madhya Pradesh, Maharashtra,  Manipur, Meghalaya, Mizoram, Nagaland, Odisha, Puducherry,  Punjab, Rajasthan, Sikkim, Tamil Nadu, Tripura, Uttar Pradesh, Uttarakhand, West Bengal</t>
  </si>
  <si>
    <t>Andaman and Nicobar, Andhra Pradesh, Arunachal Pradesh, Assam, Bihar, Chandigarh, Chhattisgarh, Dadra and Nagar Haveli, Daman and Diu, Delhi, Goa, Gujarat, Haryana, Himachal Pradesh, Jammu and Kashmir, Jharkhand, Karnataka, Kerala, Lakshadweep, Madhya Pradesh, Maharashtra, Manipur, Meghalaya, Mizoram, Nagaland, Odisha, Puducherry, Punjab, Rajasthan, Sikkim, Tamil Nadu, Tripura, Uttar Pradesh, Uttarakhand, West Bengal</t>
  </si>
  <si>
    <t>Madhya Pradesh, Maharashtra, Rajasthan</t>
  </si>
  <si>
    <t>Financial close</t>
  </si>
  <si>
    <t>Renewable Power (MW)</t>
  </si>
  <si>
    <t>Denmark</t>
  </si>
  <si>
    <t>Netherlands</t>
  </si>
  <si>
    <t>Grand Total</t>
  </si>
  <si>
    <t>Sum of Amount (in USD)</t>
  </si>
  <si>
    <t>https://ijglobal.com/data/transaction/37017/telangana-pv-solar-plant-100mw</t>
  </si>
  <si>
    <t>https://ijglobal.com/data/transaction/36661/tbcc-thatta-district-wind-complex-150mw</t>
  </si>
  <si>
    <t>https://ijglobal.com/data/transaction/16820/jeneponto-1-wind-farm-625mw</t>
  </si>
  <si>
    <t>https://ijglobal.com/data/transaction/36452/ostro-andhra-wind-farm-987mw</t>
  </si>
  <si>
    <t>https://ijglobal.com/data/transaction/35991/mytrah-energy-additional-facility</t>
  </si>
  <si>
    <t>https://ijglobal.com/data/transaction/35941/sidrap-wind-farm-75mw</t>
  </si>
  <si>
    <t>https://ijglobal.com/data/transaction/31614/continuum-madhya-pradesh-wind-farm-170mw</t>
  </si>
  <si>
    <t>https://ijglobal.com/data/transaction/35616/canadian-solar-additional-facility-2016</t>
  </si>
  <si>
    <t>Canadian Solar</t>
  </si>
  <si>
    <t>https://ijglobal.com/data/transaction/35042/rantau-dedap-geothermal-additional-facility</t>
  </si>
  <si>
    <t>https://ijglobal.com/data/transaction/35073/azure-power-karnataka-solar-130mw</t>
  </si>
  <si>
    <t>Azure Power</t>
  </si>
  <si>
    <t>Karnataka Solar 130MW</t>
  </si>
  <si>
    <t>https://ijglobal.com/data/transaction/34794/renew-wind-ii-1008mw</t>
  </si>
  <si>
    <t>https://ijglobal.com/data/transaction/32616/efeler-geothermal-project-170mw</t>
  </si>
  <si>
    <t>https://ijglobal.com/data/transaction/31728/acme-solar-project-100mw</t>
  </si>
  <si>
    <t>ACME Solar</t>
  </si>
  <si>
    <t>https://ijglobal.com/data/transaction/33728/baglar-res-wind-farm-775mw</t>
  </si>
  <si>
    <t>Akuo Energy</t>
  </si>
  <si>
    <t>https://ijglobal.com/data/transaction/32340/gul-ahmed-wind-power-plant-50mw</t>
  </si>
  <si>
    <t>https://ijglobal.com/data/transaction/33648/khuti-kun-wind-farm-495mw</t>
  </si>
  <si>
    <t>https://ijglobal.com/data/transaction/29076/thomaslloyd-renewable-portfolio-financing</t>
  </si>
  <si>
    <t>https://ijglobal.com/data/transaction/35427/metro-wind-farm-50mw</t>
  </si>
  <si>
    <t>https://ijglobal.com/data/transaction/30039/metro-power-sindh-wind-farm-50mw</t>
  </si>
  <si>
    <t>https://ijglobal.com/data/transaction/33050/semangka-hydroelectric-power-566mw</t>
  </si>
  <si>
    <t>https://ijglobal.com/data/transaction/33117/chaiyaphum-wind-farm-ipp-81mw</t>
  </si>
  <si>
    <t>Green Infra</t>
  </si>
  <si>
    <t>https://ijglobal.com/data/transaction/32430/green-infra-wind-farm-portfolio-1824mw</t>
  </si>
  <si>
    <t>https://ijglobal.com/data/transaction/22449/rantau-dedap-geothermal-ipp-220mw</t>
  </si>
  <si>
    <t>https://ijglobal.com/data/transaction/31299/azure-jodhpur-solar-pv-plant-40mw</t>
  </si>
  <si>
    <t>https://ijglobal.com/data/transaction/31228/rajamandala-hydroelectric-power-plant-47mw</t>
  </si>
  <si>
    <t>https://ijglobal.com/data/transaction/16783/sarulla-geothermal-plant-330mw</t>
  </si>
  <si>
    <t>https://ijglobal.com/data/transaction/28414/harpo-hydro-power-plant-35mw</t>
  </si>
  <si>
    <t>https://ijglobal.com/data/transaction/31665/surajbari-wind-farms-project-170mw</t>
  </si>
  <si>
    <t>Surajbari Windfarm Development</t>
  </si>
  <si>
    <t>https://ijglobal.com/data/transaction/33087/ast-telecom-solar-corporate-facility-2014</t>
  </si>
  <si>
    <t>https://ijglobal.com/data/transaction/28387/alasehir-geothermal-plant-in-manisa-30mw</t>
  </si>
  <si>
    <t>https://ijglobal.com/data/transaction/28954/sapphire-wind-farm-495mw</t>
  </si>
  <si>
    <t>Sapphire Group and Alfalah Bank</t>
  </si>
  <si>
    <t>https://ijglobal.com/data/transaction/28344/vaspet-wind-farm-financing-495mw</t>
  </si>
  <si>
    <t>https://ijglobal.com/data/transaction/25212/foundation-wind-energy-wind-farm-i-50mw</t>
  </si>
  <si>
    <t>Fauji Foundation, Fauji Fertlizer Bin Qasim Limited, and Islamic Infrastructure Fund</t>
  </si>
  <si>
    <t>https://ijglobal.com/data/transaction/28602/bangchak-solar-pv-16mw</t>
  </si>
  <si>
    <t>Bangchak Solar Energy</t>
  </si>
  <si>
    <t>https://ijglobal.com/data/transaction/28570/kreung-isep-hydropower-project-10mw</t>
  </si>
  <si>
    <t>https://ijglobal.com/data/transaction/25213/foundation-wind-energy-wind-farm-ii-50mw</t>
  </si>
  <si>
    <t>https://ijglobal.com/data/transaction/26301/solarco-pv-plants-financing-57mw</t>
  </si>
  <si>
    <t>Senagan Energi</t>
  </si>
  <si>
    <t>http://www.energetika.ba/termoenergija/12161-jos-malo-priprema-za-blok-7-exim-banka-zeli-provjeriti-poslovanje-ep-bih.html
http://www.sourcewatch.org/index.php/Banovici_power_station</t>
  </si>
  <si>
    <t>ACWA Power, Harbin Power, and Dubai Electricity &amp; Water Authority</t>
  </si>
  <si>
    <t>Hassyan Coal‐Fired Power Plant Phase 1 (2400MW)</t>
  </si>
  <si>
    <t>Financial Close</t>
  </si>
  <si>
    <t>China Machinery Engineering Corporation</t>
  </si>
  <si>
    <t>Kenya</t>
  </si>
  <si>
    <t>Cambodia</t>
  </si>
  <si>
    <t>China Africa Development Fund</t>
  </si>
  <si>
    <t>Ghana</t>
  </si>
  <si>
    <t>https://ijglobal.com/data/project/35718/long-phu-1-thermal-power-plant-1200mw</t>
  </si>
  <si>
    <t> Soc Trang</t>
  </si>
  <si>
    <t>South Kalimantan</t>
  </si>
  <si>
    <t>https://ijglobal.com/data/transaction/32622</t>
  </si>
  <si>
    <t>Galilee Basin</t>
  </si>
  <si>
    <t>Adani Enterprises</t>
  </si>
  <si>
    <t xml:space="preserve">The total value for the project is over $16,137,670,000 USD, but it is unclear whether that would be entirely provided by the State Bank of India. </t>
  </si>
  <si>
    <t> AP089111XX; full value 1,595,000,000</t>
  </si>
  <si>
    <t>Tractebel Energia</t>
  </si>
  <si>
    <t>http://www.tractebelenergia.com.br/wps/wcm/connect/5905b0ed-b22e-42aa-8392-3aece8ec84d3/Perguntas+e+Respostas+UTE+Pampa+Sul.pdf?MOD=AJPERES</t>
  </si>
  <si>
    <t>USITESC (Usina Termelétrica Sul Catarinense)</t>
  </si>
  <si>
    <t>http://am570.com.br/noticia.php?Tid=5464</t>
  </si>
  <si>
    <t>http://www.spindler.com.br/?p=5553
http://www.sourcewatch.org/index.php/Usitesc_power_station</t>
  </si>
  <si>
    <t>Georgia</t>
  </si>
  <si>
    <t>China is tenatively the funding country, but as the insititution is unidentified, the country has been left blank.</t>
  </si>
  <si>
    <t>http://www.hkexnews.hk/listedco/listconews/SEHK/2015/1223/LTN20151223681.pdf</t>
  </si>
  <si>
    <t>2x300 MW</t>
  </si>
  <si>
    <t>http://www.inform.kz/eng/article/2813050</t>
  </si>
  <si>
    <t>China Nuclear Industry 22nd Construction Co.</t>
  </si>
  <si>
    <t>http://mn.mofcom.gov.cn/article/zxhz/zzjg/201504/20150400932435.shtml</t>
  </si>
  <si>
    <t>http://www.sourcewatch.org/index.php/Baganuur_power_station_(POSCO/MCS)</t>
  </si>
  <si>
    <t>SEPCO III</t>
  </si>
  <si>
    <t>http://www.newtearoad.com/Article.php?id=2615</t>
  </si>
  <si>
    <t>http://www.sourcewatch.org/index.php/Tevshiin_Gobi_power_station</t>
  </si>
  <si>
    <t xml:space="preserve">China Heavy Machinery/ Wuxi Huagaung Electric Power Engineering </t>
  </si>
  <si>
    <t>http://www.mmtimes.com/index.php/business/20010-chinese-firm-to-restart-myanmar-s-only-coal-plant.html</t>
  </si>
  <si>
    <t>http://www.hkexnews.hk/listedco/listconews/sehk/2016/0126/LTN20160126696.pdf</t>
  </si>
  <si>
    <t>Maamba Coal Mine</t>
  </si>
  <si>
    <t>Tanzania</t>
  </si>
  <si>
    <t>https://ijglobal.com/data/transaction/36716/ayoun-moussa-coal-fired-power-plant-2460mw</t>
  </si>
  <si>
    <t>https://ijglobal.com/data/transaction/36785/thabametsi-coal-fired-power-plant-5573mw</t>
  </si>
  <si>
    <t>https://ijglobal.com/data/transaction/36786/khanyisa-coal-fired-power-plant-306mw</t>
  </si>
  <si>
    <t>https://ijglobal.com/data/transaction/32141/ncondezi-coal-fired-power-plant-300mw</t>
  </si>
  <si>
    <t>Kalbar-2 Power Plant (200MW) PPP</t>
  </si>
  <si>
    <t>https://ijglobal.com/data/transaction/36576/kalbar-2-power-plant-200mw-ppp</t>
  </si>
  <si>
    <t>Korporacja Ubezpieczén Kredytów Eksportowych (KUKE)</t>
  </si>
  <si>
    <t>Supply of mining equipment to Amasra B Coal Mine Project in Turkey</t>
  </si>
  <si>
    <t>http://www.kuke.com.pl/en/about-kuke/international-and-domestic-regulations/environmental-protection/projects-notified-ex-ante/</t>
  </si>
  <si>
    <t>Bartin Province</t>
  </si>
  <si>
    <t>Coal Mining - Equipment</t>
  </si>
  <si>
    <t>Project description: Supply of mining equipment, including four longwalls, belt conveyors, chain conveyors, TH profiles and attachment sets to Amasra B Coal Mine Project in Turkey</t>
  </si>
  <si>
    <t>Hattat Enerji ve Maden Ticaret A.S. (HEMA), a subsidiary of Hattat Holding</t>
  </si>
  <si>
    <t>https://ijglobal.com/articles/89159/pakistani-wind-project-receives-us-95-million-loan</t>
  </si>
  <si>
    <t>http://www.sourcewatch.org/index.php/Keti_Bandar_power_station</t>
  </si>
  <si>
    <t>KalSel (Tabalong) Coal-Fired Power Plant (200MW)</t>
  </si>
  <si>
    <t>https://ijglobal.com/data/transaction/32622/kalsel-coal-fired-power-plant-200mw
https://www.falcongrp.com/wp-content/uploads/2016/07/TF-Mag-July-16-web.pdf</t>
  </si>
  <si>
    <t>Indonesia Guang Ching Nickel &amp; Stainless Steel Industry/
Guangdong Guangxin Holdings Group</t>
  </si>
  <si>
    <t>PT.GCNS ferronickel smelter and
2×150MW thermal power plant (300MW)</t>
  </si>
  <si>
    <t>https://tradefinanceanalytics.com/uploads/TF%20Awards%20Pages.pdf</t>
  </si>
  <si>
    <t>The deal backs a smelter with eight production lines and a 300MW captive coal-fired power plant project in the Indonesia Morowali Industrial Park (IMIP) – an industrial complex jointly invested in and founded by Shanghai Decent Investment (an affiliate of Tsingshan Steel
holding (66.25%)) and PT Bintangdelapan Group (33.75%).
The smelter deal was heavily backed by China Exim as direct lender along with Bank of China and ICBC. 
* Close date unclear so labeled as Dec 31st</t>
  </si>
  <si>
    <t>This is phase one of two. 
The deal is Sinosure’s first project financing in Sub-Saharan Africa. Until now, Sinosure and Chinese state
entities have typically dealt directly with sovereign entities. The loan is also one of the first African financings for Bank of China and Industrial and Commercial Bank of China (ICBC).</t>
  </si>
  <si>
    <t xml:space="preserve">Sponsored by Maamba Collieries, the largest coal mining company in Zambia, the deal funds construction of
two 150MW coal-fired power plants on the site of an existing coal mine, as well as a new transmission line to connect to the national grid 
This is phase one of two. </t>
  </si>
  <si>
    <t>https://ijglobal.com/data/transaction/30999/carmichael-coal-mine</t>
  </si>
  <si>
    <t>https://ijglobal.com/data/transaction/33236/morupule-coal-fired-plant-300mw-ppp</t>
  </si>
  <si>
    <t>https://ijglobal.com/data/transaction/20604/hassyan-coal-fired-power-plant-phase-1-2400mw-ppp</t>
  </si>
  <si>
    <t>Hassyan Coal‐Fired Power Plant Phase 2 (1200MW)</t>
  </si>
  <si>
    <t>China Silk Road Fund</t>
  </si>
  <si>
    <t>Marubeni and KEPCO</t>
  </si>
  <si>
    <t>Thabametsi Coal-Fired Power Plant (557.3MW) (USD 6,931.63m)</t>
  </si>
  <si>
    <t>The SAR14 billion financing will be used for the construction of Khanyisa coal-based independent power producer (IPP) in South Africa. Acwa (50%) is developing the 306MW capacity Khanyisa plant in consortium with General Electric (35%) and local investment firm Thebe Investments (15%). Located in Mpumalanga in the east of the country, the plant is planned for operations in December 2019. Lenders on the project include South Africa’s Public Investment Corporation (PIC) and the Development Bank of South Africa (DBSA). The country’s Industrial Development Corporation will also provide debt financing.</t>
  </si>
  <si>
    <t>Khanyisa Coal-Fired Power Plant (306MW)
3,732.42 USD</t>
  </si>
  <si>
    <t>ACWA, GE, Thebe Investments</t>
  </si>
  <si>
    <t>Ayoun Moussa Coal-Fired Power Plant (2460MW)</t>
  </si>
  <si>
    <t>Export-Import Bank of Korea (KEXIM)</t>
  </si>
  <si>
    <t>Shenhua Group and PT PLN subsidiary</t>
  </si>
  <si>
    <t>https://ijglobal.com/articles/102113/samsung-cancels-1-320mw-kazakhstan-coal-fired</t>
  </si>
  <si>
    <t>Balkhash Coal-fired Power Plant (1320MW)</t>
  </si>
  <si>
    <t>https://ijglobal.com/data/transaction/34565
http://www.coalage.com/news/world-news/5451-black-veatch-to-consult-on-cirebon-2-power-project-in-indonesia.html#.WIerzFMrLIU</t>
  </si>
  <si>
    <t>Ncondezi Energy and Shanghai Electric Power</t>
  </si>
  <si>
    <t>New Colombia Resources said it is in talks to build a 300-megawatt (MW) thermal coal-fired power plant in Guaduas, Colombia, near its reserve base northeast of Bogota.
Its subsidiary, Compañía Minera San Jose Ltda., is in negotiations with a foreign entity for the plant’s construction and has secured a $200 million letter of intent from a Chinese construction firm to join a consortium that could finance the development the plant as well as the operation that will feed it.</t>
  </si>
  <si>
    <t>Power Plant neear Bogota (300MW)</t>
  </si>
  <si>
    <t>http://www.coalage.com/news/world-news/5488-world-news-november-2016.html#.WIetNFMrLIV</t>
  </si>
  <si>
    <t>Mitsui, Vale</t>
  </si>
  <si>
    <t>http://www.afdb.org/fileadmin/uploads/afdb/Documents/Project-and-Operations/Project_Brief_Nacala_Rail___Port__Project__Multinational_2015.pdf
https://ijglobal.com/data/transaction/31942/nacala-railway-corridor-912km</t>
  </si>
  <si>
    <t>https://disclosures.ifc.org/#/projectDetailESRS/8582</t>
  </si>
  <si>
    <t>The Project’s total cost is expected to be around US$5 billion (of which about US$2.7 billion will be financed by senior debt). IFC is considering investing up to US$200 million as an A Loan together with US$65 million from SAFE, China under the Managed Co-lending Portfolio Program
The proposed investment consists of the project for the construction and operation of a 912 km long railway line (greenfield as well as brownfield) extending from the Tete region in north-west Mozambique through Malawi to a greenfield deep sea coal terminal in Nacala-a-Velha on the north east coast of Mozambique (the “Nacala Corridor Project”). The project will enable evacuation and export of the coal produced by the Moatize coal mine operated by Vale Moçambique, a large Brazilian mining conglomerate, in the Tete region of Mozambique.</t>
  </si>
  <si>
    <t>Vale and Mitsui</t>
  </si>
  <si>
    <t>http://www.reuters.com/article/us-bangladesh-power-protest-idUSKBN15H0L3</t>
  </si>
  <si>
    <t>China to finance 70% of 2.4 billion; 265 km (165 miles) southeast of Dhaka, expected to begin power generation by the end of 2019.</t>
  </si>
  <si>
    <t>http://www.powerengineeringint.com/articles/2016/02/doosan-heavy-wins-294m-coal-fired-power-project.html</t>
  </si>
  <si>
    <t>Doosan Heavy Industries &amp; Construction has won a $294.35m contract to build three boilers for a thermal power plant in Bihar, India.
Doosan Heavy Industries adopted a localisation strategy through the acquisition of AE&amp;E Chennai Works Private, a local manufacturer of industrial goods, in 2011, to set up Doosan Power Systems India.
The Bihar project is expected to be completed in October 2018.</t>
  </si>
  <si>
    <t>Barh Super Thermal Power Station (1980MW)</t>
  </si>
  <si>
    <t>http://bankwatch.org/our-work/projects/pljevlja-ii-lignite-power-plant-montenegro</t>
  </si>
  <si>
    <t>Montenegro</t>
  </si>
  <si>
    <t>Egyptian Ministry of International Cooperation</t>
  </si>
  <si>
    <t>Gold of Suez Wind Farm</t>
  </si>
  <si>
    <t>https://www.kfw.de/KfW-Group/Newsroom/Aktuelles/Pressemitteilungen/Pressemitteilungen-Details_388480.html</t>
  </si>
  <si>
    <t xml:space="preserve">The total costs of the wind farm including the associated infrastructure amount to EUR 340 million, of which KfW's share is EUR 72 million. The wind farm will have a capacity of 200 to 250 MW and supply power to 370,000 people. In addition, savings of roughly 300,000 tonnes of CO2 will be made. The wind farm will make a material contribution to the Egyptian renewable energy expansion plan, according to which 20 percent of Egyptian electricity generating capacity should come from renewable energies by 2022. Converted 72 million Euros to USD. </t>
  </si>
  <si>
    <t>Idemitsu Kosan Co., Ltd</t>
  </si>
  <si>
    <t>Malinau coal mines</t>
  </si>
  <si>
    <t>http://www.jbic.go.jp/en/information/press/press-2016/1222-52286</t>
  </si>
  <si>
    <t>The loan is intended to provide financing for Idemitsu Kosan to acquire 30% shares of the Malinau coal mines located in the North Kalimantan province in Indonesia.</t>
  </si>
  <si>
    <t xml:space="preserve">https://ijglobal.com/articles/99817/jbic-grants-direct-loan-to-indonesias-pln 
http://www.jbic.go.jp/en/information/press/press-2015/0316-47130 </t>
  </si>
  <si>
    <t>Export-Import Bank of China</t>
  </si>
  <si>
    <t>Export-Import Bank of the United States (EXIM)</t>
  </si>
  <si>
    <t>http://www.sinosure.com.cn/sinosure/xwzx/xwgj/images/20160128/33262.pdf</t>
  </si>
  <si>
    <t>The total installed capacity of 3960MW, developed in two phases, each for 3 * 660MW. 
Hamrawein area on the Red Sea coast. Total value 2B not sure of Sinosure portion yet</t>
  </si>
  <si>
    <t>http://www.dailynewsegypt.com/2017/01/25/electricity-ministry-contracts-tractebel-assess-offers-10bn-coal-fueled-power-plant/</t>
  </si>
  <si>
    <t>Egyptian power holding company</t>
  </si>
  <si>
    <t>Hamrawein 埃及汉拉维恩 Power Plant Phase 2 (1980MW)</t>
  </si>
  <si>
    <t>Hamrawein 埃及汉拉维恩 Power Plant Phase 1 (1980MW)</t>
  </si>
  <si>
    <t>Recipient Subregion</t>
  </si>
  <si>
    <t>Suez</t>
  </si>
  <si>
    <t>Egyptian Electricity Holding Company</t>
  </si>
  <si>
    <t>http://www.sourcewatch.org/index.php/Ayoun_Moussa_power_station</t>
  </si>
  <si>
    <t>POSCO (Korea) and MCS</t>
  </si>
  <si>
    <t>Elektroprivreda BiH</t>
  </si>
  <si>
    <t>http://www.sourcewatch.org/index.php/Tuzla_Thermal_Power_Plant</t>
  </si>
  <si>
    <t>http://www.sourcewatch.org/index.php/Barauni_Thermal_Power_Station</t>
  </si>
  <si>
    <t>NTPC</t>
  </si>
  <si>
    <t>Doosan Power Systems</t>
  </si>
  <si>
    <t>http://timesofindia.indiatimes.com/city/patna/ntpc-to-commissionstage-i-of-barh-plant/articleshow/56818894.cms</t>
  </si>
  <si>
    <t>Northern Australia Infrastructure Fund</t>
  </si>
  <si>
    <t>http://www.afr.com/news/politics/barnaby-joyce-backs-federal-loan-for-adani-mine-20161206-gt5mgh</t>
  </si>
  <si>
    <t>Carmichael Coal Mines and Railway</t>
  </si>
  <si>
    <t>http://www.afr.com/news/politics/adanis-165-billion-carmichael-mine-development-explained-20161206-gt4ryy
http://www.abc.net.au/news/2016-12-03/adani-carmichael-rail-line-closer-to-federal-loan/8089790</t>
  </si>
  <si>
    <t>http://www.thehindu.com/business/Industry/adani-groups-australian-mine-project-cleared/article6608157.ece</t>
  </si>
  <si>
    <t>Parliamentary Inquiry</t>
  </si>
  <si>
    <t>https://www.jbic.go.jp/wp-content/uploads/projects/2015/08/40499/12.pdf</t>
  </si>
  <si>
    <t>http://endcorporateabuse.org/jbic-suspends-two-coal-based-power-projects-in-india/</t>
  </si>
  <si>
    <t>S Alam Group</t>
  </si>
  <si>
    <t>China's SEPCOIII Electric Power Construction Corp</t>
  </si>
  <si>
    <t>Payra coal power station in Kalapara (1320MW)</t>
  </si>
  <si>
    <t xml:space="preserve">http://archive.newagebd.net/252773/rampal-payra-coal-fired-power-plants/
</t>
  </si>
  <si>
    <t>http://english.hankyung.com/business/2016/12/08/1043251/posco-energy-signs-800-mil-deal-to-build-coalfueled-power-plant-in-botswana
http://www.sundaystandard.info/botswana-fresh-multi-billion-power-project-blunder</t>
  </si>
  <si>
    <t>The tender to refurbish the 120MW Morupule A power station was awarded to South Korea’s Doosan Heavy Industries at a cost of $204 million also under controversial circumstances.</t>
  </si>
  <si>
    <t>http://www.sundaystandard.info/botswana-fresh-multi-billion-power-project-blunder</t>
  </si>
  <si>
    <t>Refurbish  120MW Morupule A power station</t>
  </si>
  <si>
    <t>Doosan Heavy Industries</t>
  </si>
  <si>
    <t>http://www.herald.co.zw/chinese-firm-to-fund-gwayi-power-project http://source.co.zw/2013/12/chinese-firm-starts-work-on-gwayi-coal-mine-thermal-power-station http://www.newzimbabwe.com/news-13453-Work+starts+on+$1.3bln+power+station/news.aspx http://www.southerneye.co.zw/2013/12/11/600mw-gwayi-power-project-takes 
http://www.sourcewatch.org/index.php/Gwayi_Mine_power_station</t>
  </si>
  <si>
    <t>https://translate.google.com/translate?sl=zh-CN&amp;tl=en&amp;js=y&amp;prev=_t&amp;hl=en&amp;ie=UTF-8&amp;u=http%3A%2F%2Fwww.dec-ltd.cn%2Fdata%2Fimages%2F2016%2F08%2F8a6acdfc90080f0f20e080a64d63e88a.pdf&amp;edit-text=</t>
  </si>
  <si>
    <t>http://www.sourcewatch.org/index.php/HEMA_Amasra_power_station
https://translate.google.com/translate?sl=zh-CN&amp;tl=en&amp;js=y&amp;prev=_t&amp;hl=en&amp;ie=UTF-8&amp;u=http%3A%2F%2Fwww.dec-ltd.cn%2Fdata%2Fimages%2F2016%2F08%2F8a6acdfc90080f0f20e080a64d63e88a.pdf&amp;edit-text=</t>
  </si>
  <si>
    <t>http://greenalt.org/wp-content/uploads/2016/12/Gardabani_Coal_fired_2016.pdf</t>
  </si>
  <si>
    <t xml:space="preserve">Dongfang will use a Chinese bank </t>
  </si>
  <si>
    <t>Gardabani/Tkibuli Power Plant (150MW)</t>
  </si>
  <si>
    <t>http://agenda.ge/news/42103/eng
http://www.gig.ge/uploads/2016-07-13/7PR%20chineli%20investorebi%20en.pdf</t>
  </si>
  <si>
    <t>Georgian Industrial Group</t>
  </si>
  <si>
    <t>Marubeni and Elsewedy Electric</t>
  </si>
  <si>
    <t>4000MW plant in northern Egypt</t>
  </si>
  <si>
    <t>Shanghai Electric</t>
  </si>
  <si>
    <t>Hamarawein Port ShangHai Electric Plant</t>
  </si>
  <si>
    <t>https://issuu.com/newsbase/docs/energy_finance_week_issue_06/10</t>
  </si>
  <si>
    <t>Sidi Shabib power plant (2000MW)</t>
  </si>
  <si>
    <t xml:space="preserve">Sumitomo has presented an offer to establish a 2,000 MW coal-fired power plant </t>
  </si>
  <si>
    <t>Sidi Shabib in Marsa Matruh</t>
  </si>
  <si>
    <t>offered to establish another power plant using the same technology spanning two phases to produce 4,000 MW.</t>
  </si>
  <si>
    <t>Coal Plant (4000MW in two phases)</t>
  </si>
  <si>
    <t>Harbin-General Electric alliance</t>
  </si>
  <si>
    <t>offered to establish a clean coal-fueled power plant to produce 6,510 MW with investments amounting to $8bn</t>
  </si>
  <si>
    <t>Rampal</t>
  </si>
  <si>
    <t>Bangladesh-China Power Company Ltd (BCPCL) – a 50-50 partnership between North-West Power Generation Company of Bangladesh and China National Machinery Import and Export Corporation</t>
  </si>
  <si>
    <t>http://www.sourcewatch.org/index.php/Barapukuria_Ashuganj_power_station</t>
  </si>
  <si>
    <t>http://www.dhakatribune.com/bangladesh/2016/10/14/13b-loan-sought-power/</t>
  </si>
  <si>
    <t xml:space="preserve">Ashuganj Power Station Company </t>
  </si>
  <si>
    <t>Matarbari Coal Fired Power Generation Hub (1200MW)</t>
  </si>
  <si>
    <t>http://www.observerbd.com/details.php?id=36801</t>
  </si>
  <si>
    <t xml:space="preserve">http://www.eximbank.gov.cn/tm/Newdetails/index.aspx?nodeid=343&amp;page=ContentPage&amp;categoryid=0&amp;contentid=29406 
</t>
  </si>
  <si>
    <t>URL2</t>
  </si>
  <si>
    <t>URL3</t>
  </si>
  <si>
    <t>http://www.observerbd.com/details.php?id=54610</t>
  </si>
  <si>
    <t>https://ijglobal.com/articles/104533/pakistan-signs-on-two-china-corridor-coal-fired-projects</t>
  </si>
  <si>
    <t>Thar Power Plant (330MW)</t>
  </si>
  <si>
    <t>Thar, Sindh</t>
  </si>
  <si>
    <t>Hub, Balochistan</t>
  </si>
  <si>
    <t xml:space="preserve">China Power Hub Generation Company (Private) Limited (CPHGC), HUBCO and Private Power Infrastructure Board (PPIB) </t>
  </si>
  <si>
    <t>TDB under China Pakistan Economic Corridor</t>
  </si>
  <si>
    <t>Sino Hydro Corporation</t>
  </si>
  <si>
    <t>Hwange Power Station Expansion (600MW)</t>
  </si>
  <si>
    <t>http://www.sourcewatch.org/index.php/Hwange_power_station</t>
  </si>
  <si>
    <t>http://www.iea.org/publications/freepublications/publication/Partner_Country_SeriesChinaBoosting_the_Power_Sector_in_SubSaharan_Africa_Chinas_Involvement.pdf</t>
  </si>
  <si>
    <t>Gwayi, Matabeleland</t>
  </si>
  <si>
    <t>Gwayi Mine power station (1200MW)</t>
  </si>
  <si>
    <t xml:space="preserve">http://www.zpc.co.zw/projects/2/hwange-power-station-expansion
</t>
  </si>
  <si>
    <t>http://www.reuters.com/article/us-china-africa-zimbabwe-idUSKBN0TK3Q320151201</t>
  </si>
  <si>
    <t>Hwange Makomo power station (660MW)</t>
  </si>
  <si>
    <t>Senior Debt 1 Chinese – US$ 1,320m – 85% of EPC (Risk Cover by Sinosure)</t>
  </si>
  <si>
    <t>African Power House and Sinohydro</t>
  </si>
  <si>
    <t>http://south-energy.com/?page_id=78</t>
  </si>
  <si>
    <t>Bungo, Jambi</t>
  </si>
  <si>
    <t>http://jakartaglobe.id/business/sinar-mas-energy-holding-pushes-ahead-coal-fired-power-plants/</t>
  </si>
  <si>
    <t xml:space="preserve">http://www.sourcewatch.org/index.php/Kamwamba_power_station
</t>
  </si>
  <si>
    <t>http://www.construction-ic.com/HomePage/Projects?ReturnUrl=%2FProjects%2FOverview%2F158448%3Futm_source%3Dworldconstructionnetwork%26utm_medium%3DReferral%26utm_campaign%3DMERA%2B%25E2%2580%2593%2BKam%25E2%2580%2599mwamba%2BCoal%2BFired%2BPower%2BPlant%2B1000%2BMW%2B%25E2%2580%2593%2BMalawi&amp;utm_source=worldconstructionnetwork&amp;utm_medium=Referral&amp;utm_campaign=MERA%20%E2%80%93%20Kam%E2%80%99mwamba%20Coal%20Fired%20Power%20Plant%201000%20MW%20%E2%80%93%20Malawi</t>
  </si>
  <si>
    <t>Malawi Energy Regulatory Authority</t>
  </si>
  <si>
    <t>The first phase involves the construction of a 300MW (6X50MW) power plant and the second phase includes a 700MW coal-fired power plant.</t>
  </si>
  <si>
    <t>Kamwamba Power Plant, Zalewa Phase I (300MW)</t>
  </si>
  <si>
    <t>Zalewa, Neno</t>
  </si>
  <si>
    <t>Kammwamba Power Plant, Zalewa Phase II (700MW)</t>
  </si>
  <si>
    <t>http://malawianonline.com/business/borrow-to-grow-china-urges/</t>
  </si>
  <si>
    <t xml:space="preserve">http://www.naftogaz.com/www/3/nakweben.nsf/0/222826C460B4DF3AC2257F9D00451F71?OpenDocument&amp;year=2016&amp;month=05&amp;nt=News&amp; </t>
  </si>
  <si>
    <t xml:space="preserve">China Development Bank is waiting an official letter with a list of projects that Ukraine seeks to finance using the loan from the Economic Development and Trade Ministry.
</t>
  </si>
  <si>
    <t>Hubco Power Plant (1320MW)</t>
  </si>
  <si>
    <t>https://tribune.com.pk/story/1327172/windfall-chinese-coal-fired-projects/</t>
  </si>
  <si>
    <t>Port Qasim Electric Power Company </t>
  </si>
  <si>
    <t>Engro Powergen Thar Coal-I</t>
  </si>
  <si>
    <t>Quaid-i-Azam Solar Park Bahawalpur of 1,000MW is worth $1,350 million, Dawood 50MW wind Farm, Bhambore, Sindh of 50 MW is worth $125 million and UEP 100MW wind Farm, Jhimpir, Sindh is worth $250 million. Sachal 50MW Wind Farm, Jhimpir is worth $134 million and Sunnec 50MW wind Farm Jhimpir is $ 125 million, Suki Kinari Hydropower Station in KPK is 870 MW worth $ 1,802 million and Karot Hydropower Station in AJK &amp; Punjab is 720 MW worth $ 1,420 million.</t>
  </si>
  <si>
    <t>RENEWABLES PROJECTS</t>
  </si>
  <si>
    <t>http://nation.com.pk/national/28-Jan-2017/certain-issues-need-to-be-streamlined</t>
  </si>
  <si>
    <t>http://www.sourcewatch.org/index.php/Salt_Range_power_station</t>
  </si>
  <si>
    <t>http://www.dawn.com/news/1259048</t>
  </si>
  <si>
    <t>Salt Range power station (stalled)</t>
  </si>
  <si>
    <t>http://www.sourcewatch.org/index.php/Mouza_Saddan_Wali_power_station</t>
  </si>
  <si>
    <t>Muzaﬀargarh Coal Power Project (1320MW)</t>
  </si>
  <si>
    <t>http://www.pcq.com.pk/hubco-allowed-build-two-imported-coal-based-plants/</t>
  </si>
  <si>
    <t xml:space="preserve">http://nation.com.pk/national/28-Jan-2017/certain-issues-need-to-be-streamlined
</t>
  </si>
  <si>
    <t>http://www.sourcewatch.org/index.php/Aboano_power_station</t>
  </si>
  <si>
    <t>Song hau 1 Power Plant (1200MW)</t>
  </si>
  <si>
    <t>http://nangluongvietnam.vn/news/en/electricity/signing-the-credit-and-commercial-loan-contracts-for-song-hau-1-thermal-power-project.html</t>
  </si>
  <si>
    <t>http://en.vietstock.com.vn/2017/01/vung-ang-ii-plant-bot-project-agreement-inked-974-250494.htm</t>
  </si>
  <si>
    <t>http://www.baomoi.com/han-quoc-xay-nha-may-nhiet-dien-chay-than-1-85-ty-usd-tai-quang-tri/c/21367216.epi</t>
  </si>
  <si>
    <t>Korea Western Power (KOWEPO)</t>
  </si>
  <si>
    <t>Quang Tri 2 power plant (1200)</t>
  </si>
  <si>
    <t>total investment 1.85B</t>
  </si>
  <si>
    <t>Quang Tri province</t>
  </si>
  <si>
    <t>Duyen Hai Plant Expansion</t>
  </si>
  <si>
    <t>http://nangluongvietnam.vn
http://pvc.vn/en-us/news/newsdetails/tabid/211/id/2199/EPC-Contract-Signed-for-Long-Phu-1-Thermal-Power-Plant-Construction.aspx</t>
  </si>
  <si>
    <t>Long Phu 2 Power Plant (1320MW)</t>
  </si>
  <si>
    <t>https://www.tatapower.com/investor-relations/pdf/96Annual-Report-2014-15.pdf</t>
  </si>
  <si>
    <t>http://nangluongvietnam.vn/news/en/investment-activity/invest-activity/tata-power-scouts-for-vietnamese-partner-for-long-phu-2-thermal-power-project.html</t>
  </si>
  <si>
    <t>http://baokhanhhoa.com.vn/kinh-te/201504/du-an-nhiet-dien-van-phong-1-ban-giao-mat-bang-trong-nam-2015-2382242/</t>
  </si>
  <si>
    <t>http://baocongthuong.com.vn/jbic-quan-tam-tien-do-3-du-an-nhiet-dien-bot-tai-viet-nam.html</t>
  </si>
  <si>
    <t>Mitsubishi (Japan) (BOT)</t>
  </si>
  <si>
    <t>Vung Ang 2 (1200MW)</t>
  </si>
  <si>
    <t>Vung Ang 3 (1200MW)</t>
  </si>
  <si>
    <t>Samsung C&amp;T (Korea) (BOT)</t>
  </si>
  <si>
    <t>CLP Holdings, Vung Ang Power Company + Mitsubishi (Japan) (BOT)</t>
  </si>
  <si>
    <t>http://tuoitre.vn/tin/kinh-te/20141015/samsung-chuan-bi-dau-tu-them-25-ti-usd-xay-nhiet-dien-o-ha-tinh/658597.html</t>
  </si>
  <si>
    <t>POSCO</t>
  </si>
  <si>
    <t>Quynh Lap 2 Power Plant (1200MW)</t>
  </si>
  <si>
    <t>http://truyenhinhnghean.vn/kinh-te/201510/nha-may-nhiet-dien-quynh-lap-2-se-do-cong-ty-posco-enegy-dau-tu-xay-dung-645164/</t>
  </si>
  <si>
    <t>http://www.baobinhthuan.com.vn/kinh-te/ky-ket-hop-dong-xay-dung-nha-may-nhiet-dien-vinh-tan-3-tri-gia-hon-1144-ty-usd-61213.html</t>
  </si>
  <si>
    <t>Bac Lieu Power Plant (1200MW) (stalled)</t>
  </si>
  <si>
    <t>Status</t>
  </si>
  <si>
    <t>Not Funding</t>
  </si>
  <si>
    <t>Not funding</t>
  </si>
  <si>
    <t>Darlipali (1600MW) (not funding)</t>
  </si>
  <si>
    <t>https://www.adb.org/projects/46915-014/main</t>
  </si>
  <si>
    <t>http://www.genco3.com/d4/news/Le-khoi-cong-xay-dung-Nha-may-Nhiet-dien-Vinh-Tan-4-Mo-rong-1-317.aspx</t>
  </si>
  <si>
    <t>Vinh Tan 4 Coal-Fired Thermal Power Plant Expansion (600MW)</t>
  </si>
  <si>
    <t>http://www.mitsubishicorp.com/jp/en/pr/archive/2016/html/0000029773.html</t>
  </si>
  <si>
    <t>Mitsubishi Corporation (MC), together with Doosan Heavy Industries &amp; Construction of Korea (Doosan) and Vietnamese partners, Power Engineering Consulting Joint Stock Company 2 and Pacific Corporation</t>
  </si>
  <si>
    <t>Binh Thuan province</t>
  </si>
  <si>
    <t>http://www.jbic.go.jp/en/efforts/environment/projects/51455</t>
  </si>
  <si>
    <t>http://english.vietnamnet.vn/fms/business/152704/business-in-brief-20-1.html</t>
  </si>
  <si>
    <t>may be 100% equity</t>
  </si>
  <si>
    <t>http://thanhnien.vn/kinh-doanh/khoi-cong-nha-may-nhiet-dien-vinh-tan-4-mo-rong-695137.html</t>
  </si>
  <si>
    <t>Binh Thuan</t>
  </si>
  <si>
    <t>(All)</t>
  </si>
  <si>
    <t>265 km (165 miles) southeast of Dhaka, expected to begin power generation by the end of 2019.</t>
  </si>
  <si>
    <t>Volta River Authority (VRA)</t>
  </si>
  <si>
    <t>Shenzhen Energy Group Co. Ltd. of China (SEC)</t>
  </si>
  <si>
    <t>http://www.ghanaweb.com/GhanaHomePage/NewsArchive/Let-s-consolidate-power-gains-with-coal-Jinapor-505542</t>
  </si>
  <si>
    <t>The plant is to be further expanded either by 4×350MW (or 2×600MW) supercritical coal-fired generating units in the future, as demand is expected to continue increasing. The project includes the construction of a coal port solely dedicated to taking delivery of imported coal.</t>
  </si>
  <si>
    <t>Expansion</t>
  </si>
  <si>
    <t>Aboano Phase II</t>
  </si>
  <si>
    <t>The project includes the construction of a coal port solely dedicated to taking delivery of imported coal.</t>
  </si>
  <si>
    <t>Aboano Coal Plant's Accompanying Coal Port</t>
  </si>
  <si>
    <t>Transport</t>
  </si>
  <si>
    <t>Ekumfi Aboano District, Central Region</t>
  </si>
  <si>
    <t>https://www.modernghana.com/news/731131/us15-billion-coal-power-project-rejected-by-government.html</t>
  </si>
  <si>
    <t>Aboano Phase I (700MW) (stalled)</t>
  </si>
  <si>
    <t>Tete</t>
  </si>
  <si>
    <t>The deal will see SEP take a 60% stake in project company Ncondezi Power Company, providing $25.5 million in equity funding to match Ncondezi’s $17 million historic costs of development.  expected to cost around $1 billion in total including the cost of a 90km transmission line connecting the project to the grid. The project’s debt-to-equity ratio is expected to be around 70:30. expected to be mostly funded by development finance institutions, SEP will be responsible for garnering all of the commercial debt, likely to be from Chinese financiers. SEP will also undertake operations and maintenance work for the life of the plant.
The plant will be fired on coal from a Ncondezi-owned open pit mine producing around 1.2 million tonnes of coal per year. A 25-year power purchase agreement paid in US dollars is at an “advanced draft” stage and is expected to be finalised shortly after the joint development agreement, or in the first quarter of 2017. State utility Electricidade de Mocambique is the offtaker.
The 300MW is the first phase of the development, which Ncondezi plans to step up to a total of 1,800MW in 300MW phases.</t>
  </si>
  <si>
    <t>TBD DFI</t>
  </si>
  <si>
    <t>The 300MW is the first phase of the development, which Ncondezi plans to step up to a total of 1,800MW in 300MW phases.</t>
  </si>
  <si>
    <t>Ncondezi Coal-Fired Power Plant Phase 2 and later (300*5MW)</t>
  </si>
  <si>
    <t>http://www.sourcewatch.org/index.php/Ncondezi_power_station</t>
  </si>
  <si>
    <t>http://www.bankinformationcenter.org/wp-content/uploads/2017/01/MOZAMBIQUE-DPF-FORMATTED-1.11.17-1.pdf</t>
  </si>
  <si>
    <t>Ncondezi Coal-Fired Power Plant Phase I (300MW) Expected financial close 2017</t>
  </si>
  <si>
    <t>Many in Mozambique from India</t>
  </si>
  <si>
    <t>Rahim Yar Khan Power plant (1320MW)</t>
  </si>
  <si>
    <t>https://tribune.com.pk/story/1330482/cpec-energy-projects-pakistan-china-revise-priority-list/</t>
  </si>
  <si>
    <t>priority list for 2017-2018</t>
  </si>
  <si>
    <t>downgraded to its actively promoted list, which carries projects that will be completed in the next five years.  no transmission line at the project site.</t>
  </si>
  <si>
    <t>Oracle Power Plant (1320MW)</t>
  </si>
  <si>
    <t>http://nation.com.pk/national/28-Jan-2017/certain-issues-need-to-be-streamlined
https://tribune.com.pk/story/1330482/cpec-energy-projects-pakistan-china-revise-priority-list/</t>
  </si>
  <si>
    <t>http://www.sourcewatch.org/index.php/Ugljevik_Thermal_Power_Plant</t>
  </si>
  <si>
    <t>http://serbia-energy.eu/bosnia-tpp-banovici-construction-kick-off-2017/</t>
  </si>
  <si>
    <t>Banovici (350MW)</t>
  </si>
  <si>
    <t>MoU with China Development signed in 2015; from Bankwatch
Tuzla 7, Banovici and Ugljevik III are still in play. They have environmental permits – subject to court rulings – but have yet to sign finance deals. That is to say nothing of various mooted projects that are at the pre-permit stage.</t>
  </si>
  <si>
    <t>Region</t>
  </si>
  <si>
    <t>South Asia</t>
  </si>
  <si>
    <t>Latin America</t>
  </si>
  <si>
    <t>Southeast Asia</t>
  </si>
  <si>
    <t>Europe</t>
  </si>
  <si>
    <t>MENA</t>
  </si>
  <si>
    <t>Batang Power Plant (2000MW)</t>
  </si>
  <si>
    <t>Barapukuria Ashuganj power station (1320MW) (shelved)</t>
  </si>
  <si>
    <t>at the mouth of Barapukuria coal mine in Dinajpur.; the decision to abandon the open-pit option would hamper further power plant development</t>
  </si>
  <si>
    <t>Rajshahi</t>
  </si>
  <si>
    <t>http://www.sourcewatch.org/index.php/Matarbari_power_station</t>
  </si>
  <si>
    <t>japanese bidders</t>
  </si>
  <si>
    <t>For the implementation of this project, CPGCBL will borrow $3.7 billion from the Japan International Cooperation Agency (JICA), at an annual interest rate of 0.1 percent over 30 years, with a 10-year moratorium period.</t>
  </si>
  <si>
    <t>https://www.jica.go.jp/english/our_work/social_environmental/id/asia/south/bangladesh/c8h0vm000090ry4d.html
https://energybangla.com/japanese-marubeni-sumitomo-at-last-reverted-to-matarbari/</t>
  </si>
  <si>
    <t>Harbin Electric International Company Limited</t>
  </si>
  <si>
    <t>http://www.apscl.com/home/oprojects
http://www.conveyorlogistics.com/ongoing-project/</t>
  </si>
  <si>
    <t>no reports that financial closure has been achieved
EXIM RESPONSE: EXIM does not have a pending application for this project.</t>
  </si>
  <si>
    <t>Rampal Maitree Coal Fired Power Plant (1320MW)</t>
  </si>
  <si>
    <t>Port Qasim Port Power Station (1320MW)[Close date uncertain]</t>
  </si>
  <si>
    <t>Likely Financial Close</t>
  </si>
  <si>
    <t>The China-Africa Development Fund (CADFund) is to provide about-US$1.5billion long-term loan for the construction of two 350MW coal-fired plants to meet future power demand.
Facing opposition, future prospects unclear</t>
  </si>
  <si>
    <t>http://news.xinhuanet.com/world/2012-12/04/c_113907348.htm; 
http://climatepolicyinitiative.org/wp-content/uploads/2015/11/Slowing-the-Growth-of-Coal-Power-Outside-China.pdf</t>
  </si>
  <si>
    <t>http://www.sourcewatch.org/index.php/Sumsel-5_power_station</t>
  </si>
  <si>
    <t>Mulut Tambang (Sumsel 9)</t>
  </si>
  <si>
    <t>Sumsel 10</t>
  </si>
  <si>
    <t xml:space="preserve">PT. BANTAENG SIGMA ENERGI (BSE) </t>
  </si>
  <si>
    <t>Power Plant in Bantaeng (600MW)</t>
  </si>
  <si>
    <t>http://www.construction-ic.com/HomePage/Projects?ReturnUrl=%2FProjects%2FOverview%2F196345%3Futm_source%3Dworldconstructionnetwork%26utm_medium%3DReferral%26utm_campaign%3DBSE%2B%25E2%2580%2593%2BBantaeng%2BRegency%2BCoal%2BFired%2BPower%2BPlant%2B600%2BMW%2B%25E2%2580%2593%2BSouth%2BSulawesi%2BProvince&amp;utm_source=worldconstructionnetwork&amp;utm_medium=Referral&amp;utm_campaign=BSE%20%E2%80%93%20Bantaeng%20Regency%20Coal%20Fired%20Power%20Plant%20600%20MW%20%E2%80%93%20South%20Sulawesi%20Province</t>
  </si>
  <si>
    <t>PT. Bhumi Jati Power (BJP)</t>
  </si>
  <si>
    <t>SUMITOMO CORPORATION and The Kansai Electric Power Company</t>
  </si>
  <si>
    <t>http://www.4-traders.com/news/Project-Finance-for-Re-expansion-of-Tanjung-Jati-B-Coal-Fired-Power-Plant-in-Indonesia-Supporting--23945472/</t>
  </si>
  <si>
    <t>World Bank</t>
  </si>
  <si>
    <t>http://spectrum.ieee.org/energywise/energy/policy/the-numbers-dont-add-up-for-kosovos-coal-plant</t>
  </si>
  <si>
    <t>URL1</t>
  </si>
  <si>
    <t>Kosovo power plant</t>
  </si>
  <si>
    <t>Chinese equipment including boiler; Chinese construction. China is tenatively the funding country, but as the insititution is unidentified, the country has been left blank.</t>
  </si>
  <si>
    <t>Candiota, Rio Grande do Sul</t>
  </si>
  <si>
    <t>http://www.sourcewatch.org/index.php/Pampa_power_station</t>
  </si>
  <si>
    <t>Barcarena Geração de Energia Ltd</t>
  </si>
  <si>
    <t>SDEPCI (Shandong Electric Power Engineering Consulting Institute)</t>
  </si>
  <si>
    <t>Announced</t>
  </si>
  <si>
    <t>Barcarena</t>
  </si>
  <si>
    <t>http://www.sourcewatch.org/index.php/Category:Proposed_coal_plants_in_Brazil</t>
  </si>
  <si>
    <t>Treviso, Santa Catarina</t>
  </si>
  <si>
    <t>USITESC Coal Plant (300MW)</t>
  </si>
  <si>
    <t>Vale power station Unit 1 (300MW) and Unit 2 (300MW)</t>
  </si>
  <si>
    <t>Pampa II (300MW)</t>
  </si>
  <si>
    <t>http://www.sourcewatch.org/index.php/Pedras_Altas_power_station</t>
  </si>
  <si>
    <t>http://www.ipim.gov.mo/en/portuguese-speaking-countries-news/chinese-state-owned-enterprises-want-to-build-power-plant-in-brazil/</t>
  </si>
  <si>
    <t>Pedras Altas Ouro Negro power station Units 1 and 2 (300MW each)</t>
  </si>
  <si>
    <t>Ouro Negro Energia, CITIC and Hebi Guochang Energy Development</t>
  </si>
  <si>
    <t>agreement with the bank will be signed by the end of 2016 which would create conditions for the official start of this project.A meeting in China over two of those issues will be scheduled, to be attended by representatives of both firms and the Federation government, as well as the Industrial and Commercial Bank of China (ICBC) and China Export&amp;Credit Insurance Corporation (SINOSURE).</t>
  </si>
  <si>
    <t>http://bankwatch.org/our-work/projects/banovici-lignite-power-plant-bosnia-and-herzegovina
http://www.climatedepot.com/2016/09/21/china-funds-and-builds-europes-new-coal-power-plants/</t>
  </si>
  <si>
    <t>New Colombia Resources</t>
  </si>
  <si>
    <t>Karaganda</t>
  </si>
  <si>
    <t>Karaganda Coal Processing Plant</t>
  </si>
  <si>
    <t>China Kingho Energy Group</t>
  </si>
  <si>
    <t>China is tenatively the funding country, but as the insititution is unidentified, the country has been left blank. value of the investment portfolio is estimated at $ 2.6</t>
  </si>
  <si>
    <t>Kazakh KazMunaiGas - Processing and Marketing JSC and China Kingho Energy Group signed an agreement to establish a joint venture - Karaganda CCI LLP.</t>
  </si>
  <si>
    <t>Coal to synthetic fuel</t>
  </si>
  <si>
    <t>http://en.trend.az/casia/kazakhstan/2429083.html</t>
  </si>
  <si>
    <t>Edenville Energy</t>
  </si>
  <si>
    <t>http://www.tanzaniainvest.com/mining/china-rukwa-coal-project-sinohydro-edenville-mou</t>
  </si>
  <si>
    <t>Sinohydro Corporation</t>
  </si>
  <si>
    <t>Rukwa Coal to Power Project</t>
  </si>
  <si>
    <t>Southwest</t>
  </si>
  <si>
    <t xml:space="preserve">$3 billion joint venture </t>
  </si>
  <si>
    <t>National Development Corporation and the Chinese Sichuan Hogda group in Mchuchuma</t>
  </si>
  <si>
    <t>https://academic.oup.com/afraf/article/doi/10.1093/afraf/adx002/2991627/Competing-energy-narratives-in-Tanzania-towards?guestAccessKey=99ae5e3f-c51b-4ef2-aed5-b3afff8dd2ee</t>
  </si>
  <si>
    <t>Mchuchuma coal mine and power plant (600MW)</t>
  </si>
  <si>
    <t>http://endcoal.org/2016/08/chinas-growing-role-as-funder-of-africas-proposed-coal-plants/</t>
  </si>
  <si>
    <t>http://africanbusinessmagazine.com/sectors/energy/tanzania-mbeya-coal-mine-agreed/</t>
  </si>
  <si>
    <t>Kibo Mining</t>
  </si>
  <si>
    <t xml:space="preserve">SEPCO III </t>
  </si>
  <si>
    <t>Mbeya  mine mouth coal power plant (250-350MW)</t>
  </si>
  <si>
    <t>http://allafrica.com/stories/201612010419.html</t>
  </si>
  <si>
    <t>http://www.miningmx.com/news/energy/28078-absa-take-stake-kibos-300mw-coal-power-project/</t>
  </si>
  <si>
    <t>http://www.stockmarketwire.com/company-news/KIBO/Kibo-Mining
http://www.sharetrackin.com/subscribers/data/McGregor_news.asp
https://ijglobal.com/data/transaction/33870/mbeya-coal-to-power-project-mcpp</t>
  </si>
  <si>
    <t>Mogul Power</t>
  </si>
  <si>
    <t>Tevshiin Gobi (600MW)</t>
  </si>
  <si>
    <t>Dundgovi Province</t>
  </si>
  <si>
    <t>Tavan Tolgoi Coking Coal Project</t>
  </si>
  <si>
    <t>https://ijglobal.com/data/transaction/32615/tavan-tolgoi-coking-coal-project</t>
  </si>
  <si>
    <t>http://www.kingsofcoal.org/case-studies/pljevlja-ii</t>
  </si>
  <si>
    <t>Pljevlja II lignite power plant (254MW)</t>
  </si>
  <si>
    <t>Skoda expects to present a final proposal of the financial structure and financing conditions for the project by the end of February</t>
  </si>
  <si>
    <t>http://www.reuters.com/article/idUSL5N1FR3G1</t>
  </si>
  <si>
    <t>Skoda Praha</t>
  </si>
  <si>
    <t>GE</t>
  </si>
  <si>
    <t>Tigyit (120MW)</t>
  </si>
  <si>
    <t>Shan State</t>
  </si>
  <si>
    <t>http://www.mmtimes.com/index.php/national-news/24647-as-possible-restart-of-tigyit-coal-plant-looms-opposition-rallies.html</t>
  </si>
  <si>
    <t>Eden Group, Shan Yoma Nagar</t>
  </si>
  <si>
    <t>https://energy.frontiermyanmar.com/sites/all/libraries/ckfinder/userfiles/files/MEB%203%20November%202016(1).pdf</t>
  </si>
  <si>
    <t>East Kalimantan</t>
  </si>
  <si>
    <t>http://www.sourcewatch.org/index.php/Kalbar-2_power_station</t>
  </si>
  <si>
    <t>PLN</t>
  </si>
  <si>
    <t>Long Phu 3 (1200MW)</t>
  </si>
  <si>
    <t>http://xn--boq62d51cyxaz4fmxkbmd48z5vk36g7mttvnup4ddz0a2ea.com/en.php/News/news_1_view/id/2064</t>
  </si>
  <si>
    <t xml:space="preserve">http://www.sinosure.com.cn/sinosure/xwzx/xwgj/images/20160126/33250.pdf </t>
  </si>
  <si>
    <t>http://www.sourcewatch.org/index.php/Sihanoukville_CEL_power_station</t>
  </si>
  <si>
    <t>Cambodian Energy Limited</t>
  </si>
  <si>
    <t>Preah Sihanouk</t>
  </si>
  <si>
    <t>Sihanoukville CEL power station (150MW expansion)</t>
  </si>
  <si>
    <t>http://www.khmertimeskh.com/news/35908/toshiba-to-build-power-plant/</t>
  </si>
  <si>
    <t>https://ijglobal.com/data/transaction/37695?name=Preah%20Sihanouk%20Coal-Fired%20Power%20Plant%20(135MW)&amp;link=%2Farticles%2F105014%2Fcambodia-approves-new-power-and-transmission-projects</t>
  </si>
  <si>
    <t>http://www.sourcewatch.org/index.php/Aboano_power_station
http://www.cdb.com.cn/rdzt/gjyw_1/201609/t20160909_3640.html</t>
  </si>
  <si>
    <t xml:space="preserve">http://www.sinosure.com.cn/sinosure/xwzx/xwgj/images/20160128/33262.pdf </t>
  </si>
  <si>
    <t>estimated cost of over $2billion. Exim Bank of China, China Development Bank, and the Industrial and Commercial Bank of China potentially.
the groundwork has started with equity money. And one unit already constructed</t>
  </si>
  <si>
    <t>The total cost of the project is $1.92 billion and the sponsors have arranged $1.44 billion loan at 6 per cent interest rate; one unit constructed. One under construction</t>
  </si>
  <si>
    <t>https://ijglobal.com/data/transaction/34100/2000mw-tanjung-jati-b-coal-fired-power-plant-units-5-and-6</t>
  </si>
  <si>
    <t>Makomo Resources Pty Ltd &amp; Bond Equipment Pty Ltd</t>
  </si>
  <si>
    <t>Toyo Thai (stalled)</t>
  </si>
  <si>
    <t>http://www.elevenmyanmar.com/local/6078</t>
  </si>
  <si>
    <t>Mon State</t>
  </si>
  <si>
    <t>http://www.sourcewatch.org/index.php/Inn_Din_power_station</t>
  </si>
  <si>
    <t>Jimah East 3B Power Plant (2000MW)</t>
  </si>
  <si>
    <t>https://www.tnb.com.my/announcements/tnb-acquires70-stake-in-jimah-east-power-sdn.-bhd-for-rm46.98-million</t>
  </si>
  <si>
    <t>Not financed by JBIC. Bonds from private banks.</t>
  </si>
  <si>
    <t>https://www.dei.gr/en/anakoinwseis/xrimatistiriaka-etairikes-prakseis-katavoli-merismatos-ka/xrimatistiriakes-anakoinwseis-2013/ekdosi-telikis-asfalistikis-kalupsis-daneiou-739-e</t>
  </si>
  <si>
    <t>Public Power Corporation of Greece</t>
  </si>
  <si>
    <t>http://dip21.bundestag.de/dip21/btd/18/068/1806834.pdf</t>
  </si>
  <si>
    <t>http://www.greenpeace.org.uk/newsdesk/energy/news/greek-power-authority-and-german-development-bank-under-fire-plans-new-lignite-plant-greece</t>
  </si>
  <si>
    <t>https://tradefinanceanalytics.com/Articles/3291884/Euler-Hermes-fulfils-maiden-loan-cover-for-Greek-power-plant</t>
  </si>
  <si>
    <t>It’s not certain how big KfW’s slice of the 739 million is though it leads the syndicate. Greek media recently reported 700 million Euros, PPC’s chief executive mentioning the figure of 200 million in 2012, and an initial funding plan KfW would contribute by 44% of the project, around 610 million Euros.  construction has started</t>
  </si>
  <si>
    <t>China Machinery and Engineering Corp</t>
  </si>
  <si>
    <t>Elektroprivreda Srbije, a Serbian electricity conglomerate</t>
  </si>
  <si>
    <t>https://tradefinanceanalytics.com/data/transaction/55642/elektroprivreda-srbije-715-million-0117</t>
  </si>
  <si>
    <t>Mine and Plant</t>
  </si>
  <si>
    <t>http://serbia-energy.eu/serbia-second-phase-tpp-kostolac-b-modernization-started/</t>
  </si>
  <si>
    <t>Bengkulu Province</t>
  </si>
  <si>
    <t>https://tradefinanceanalytics.com/data/transaction/55048/tlb-270-million-1016</t>
  </si>
  <si>
    <t>Sinosure - China Export &amp; Credit Insurance Corporation</t>
  </si>
  <si>
    <t>TBD Korea</t>
  </si>
  <si>
    <t>TBD JICA/JBIC</t>
  </si>
  <si>
    <t xml:space="preserve">TBD China Africa Development Fund </t>
  </si>
  <si>
    <t>TBD Bank of China/Sinosure</t>
  </si>
  <si>
    <t>$532M</t>
  </si>
  <si>
    <t>http://www.chinadaily.com.cn/bizchina/2016-10/26/content_27179531.htm</t>
  </si>
  <si>
    <t>PowerChina Resource</t>
  </si>
  <si>
    <t>BOSS/PB Coal Exploration Project</t>
  </si>
  <si>
    <t>loan and guarantee</t>
  </si>
  <si>
    <t>Oceania</t>
  </si>
  <si>
    <t>expected total investment of nearly $ 2.5 billion; Concerning financing, the Korean company POSCO enegy commitment will be responsible for arranging, implementing, including equity and debt financing to proceed with construction of the plant in the form of BOT. The ratio of equity and borrowed capital is 25/75%. The loan will be invested to Fund directly export credits and export credit guarantees from the Bank of Korea Eximbank and the Korean Financial Group ensures, with 15-year loan period</t>
  </si>
  <si>
    <t xml:space="preserve">Quynh Lap, Hoang Mai town. Nghe An province </t>
  </si>
  <si>
    <t>Posco Engineering &amp; Construction</t>
  </si>
  <si>
    <t>Nam Dinh I Coal-Fired Plant (1200MW)</t>
  </si>
  <si>
    <t>Hai Hau District, Nam Dinh Province</t>
  </si>
  <si>
    <t>https://ijglobal.com/data/transaction/21613/nam-dinh-1-coal-fired-power-plant-1200mw-ipp</t>
  </si>
  <si>
    <t>Saudi Arabia’s Acwa Power and South Korea’s Taekwang Power Holdings</t>
  </si>
  <si>
    <t>Mizuho is leading the lending banks, with DBS, DZ Bank and Korea Development Bank, MUFG and Standard Chartered also participating. Export-Import Bank of Korea and Korea Trade Insurance Corporation will also be providing financing. 
expected to close by the end of 2017; 2 billion USD</t>
  </si>
  <si>
    <t>United Arab Emirates’ Al Nowais Company</t>
  </si>
  <si>
    <t>Sumitomo Electric Industries</t>
  </si>
  <si>
    <t>Mitsubishi-Hitachi Alliance</t>
  </si>
  <si>
    <t>Matrouh province</t>
  </si>
  <si>
    <t>http://www.4-traders.com/SHANGHAI-ELECTRIC-GROUP-C-6500348/news/Electricity-Ministry-compares-between-6-companies-to-build-10bn-coal-fired-power-plant-23274063/</t>
  </si>
  <si>
    <t>Coal Power Plants 6,510 MW and investments of $8bn</t>
  </si>
  <si>
    <t>Egyptian Electric Holding Co. Marubeni-Swedish Alliance</t>
  </si>
  <si>
    <t>The Ministry of Electricity has signed a memorandum of understanding with the Marubeni-Elsewedy Electric alliance to set up a 4,000 MW coal-fired power plant west of Matrouh. coal-fired power plant over two phases, with a capacity of 2,000 MW for each.</t>
  </si>
  <si>
    <t>Hamrawein</t>
  </si>
  <si>
    <t>Hamrawein Port DongFang Plant</t>
  </si>
  <si>
    <t>http://hk.on.cc/hk/bkn/cnt/finance/20160122/bkn-20160122194708305-0122_00842_001_cn.html
http://www.4-traders.com/SHANGHAI-ELECTRIC-GROUP-C-6500348/news/Shanghai-Electric-Government-Shanghai-Electric-to-sign-contract-in-September-22691177/?login=fail</t>
  </si>
  <si>
    <t>http://www.dailynewsegypt.com/2017/01/30/613491/</t>
  </si>
  <si>
    <t>Delayed</t>
  </si>
  <si>
    <t>Bengkulu Coal Power Plant (200MW)</t>
  </si>
  <si>
    <t>Tenaga Listrik Bengkulu (TLP),  joint venture Intraco Penta and Chinese power firm Power Construction Corp of China has</t>
  </si>
  <si>
    <t>http://www.4-traders.com/POWER-CONSTRUCTION-CORP-O-9950512/news/Power-Construction-of-China-PCCC-joined-Indonesia-Coal-fired-Power-Plant-Started-23277097/
http://www.4-traders.com/INTRACO-PENTA-TBK-PT-20700854/news/Intraco-Penta-Tbk-PT-PCCC-Secures-270m-Loan-for-Bengkulu-Power-Project-23301402/</t>
  </si>
  <si>
    <t>has signed a $270 million facility wit h ICBC and China Eximbank. Unclear on loan size for each, so split in half</t>
  </si>
  <si>
    <t>http://www.4-traders.com/EDENVILLE-ENERGY-PLC-5033890/news/Edenville-Energy-Partnership-with-Sinohydro-Corporation-23-January-2017-Edenville-Energy-PLC-23736898/</t>
  </si>
  <si>
    <t xml:space="preserve">Sinohydro's project team will also use their considerable experience of working with Chinese and other financial institutions to assist in exploring appropriate funding options available for development capital to be used
</t>
  </si>
  <si>
    <t>Bihar</t>
  </si>
  <si>
    <t>Doosan Power Systems India</t>
  </si>
  <si>
    <t>Obra-C coal-fired electrical power plant (1320MW)</t>
  </si>
  <si>
    <t>Sonebhadra.</t>
  </si>
  <si>
    <t>Under the contract, Doosan will build two power generators, each with 660MW capacity, at the Obra-C coal-fired electrical power plant in Sonebhadra. Doosan expects to complete work at the Obra-C and Jawaharpur sites by October 2020 and February 2021 respectively.</t>
  </si>
  <si>
    <t>http://www.4-traders.com/DOOSAN-HEAVY-INDUSTRIES-C-6493909/news/Doosan-Heavy-Industries-Constrctn-wins-2-3bn-contract-to-build-coal-fired-power-plants-in-India-23617357/</t>
  </si>
  <si>
    <t xml:space="preserve">The Chinese Shanghai Electric offered to set up a coal-fired power plant in Hamrawein area on the Red Sea coast. The proposal includes a 4,640 MW power plant with investment up to $7bn.  the first phase of four 660 MW coal-fired generating units, the second phase of two 1,000 MW. they had agreed with three Chinese banks to finance the project. The banks include Ex-Im Bank, ICBC, and CDB. Hamrawein with a capacity of 2,640 MW and investments of $3bn. </t>
  </si>
  <si>
    <t>Sum of Lifetime Emissions (MMTCO2)</t>
  </si>
  <si>
    <t>1,980MW Vinh Tan 3 coal-fired power plant  is expected to close by the third quarter of 2017, IJGlobal will essentially be export-credit agency financed with Sinosure and China Development Bank acting as the cornerstone lenders.</t>
  </si>
  <si>
    <t>Platts</t>
  </si>
  <si>
    <t>Doosan, Toshiba</t>
  </si>
  <si>
    <t>http://www.koreatimes.co.kr/www/news/biz/2015/08/123_184918.html</t>
  </si>
  <si>
    <t>DELAYED BY COURT RULING. The SAR26 billion proceeds will be used for the development of the Thabametsi  coal-based independent power producer (IPP), located in Limpopo province in eastern South Africa. Thabametsi at 557.3MW in size is being developed by Japan's Marubeni (24.5%) in consortium with Korea’s KEPCO. Lenders on the project include South Africa’s Public Investment Corporation (PIC) and the Development Bank of South Africa (DBSA). The country’s Industrial Development Corporation will also provide debt financing.</t>
  </si>
  <si>
    <t>https://www.businesslive.co.za/bd/national/science-and-environment/2017-03-13-court-pours-water-on-coal-fired-power-station-plan/</t>
  </si>
  <si>
    <t>http://cer.org.za/news/victory-in-sas-first-climate-change-court-case</t>
  </si>
  <si>
    <t>Kostolac mine exapnsion and power plant (350MW)</t>
  </si>
  <si>
    <t>has started the second phase of the modernization project of thermal power plant Kostolac B with the start of installation of excavatorconveyor-spreader (ECS) system at Drmno coalmine.
The project for the modernization of TPP Kostolac B also includes the construction of the new B3 unit with power output of 350 MW.
maturity of the loan is 20 years, with a 7- years grace period and fixed interest of 2.5 %.</t>
  </si>
  <si>
    <t>Southern Africa Shanghai Energizer Company (SASEC), JV of Shanghai Electric, Shenergy Co. Ltd. and Nan Jiang Group</t>
  </si>
  <si>
    <t xml:space="preserve">Bangladesh India Friendship Power Company Ltd (BIFPCL): Power Development Board (PDB) &amp; India's National Thermal Power Corporation (NTPC) </t>
  </si>
  <si>
    <t>Industrial and Commercial Bank of China, Stand Charted Bank, Absa, Barclays Bank Zambia Ltd, Dev Bank of Southern Africa, Industrial Dev Corp of S.A., Africa Finance Corp.</t>
  </si>
  <si>
    <t xml:space="preserve"> solar and biomass plants</t>
  </si>
  <si>
    <t>Zabaleta &amp; Company, ThomasLloyd Group</t>
  </si>
  <si>
    <t>Keti Bandar power station (1320MW)</t>
  </si>
  <si>
    <t>Sapphire Wind Company</t>
  </si>
  <si>
    <t>Sindh</t>
  </si>
  <si>
    <t>wind project in Ghoro-Keti Bandar wind corridor (133MW)</t>
  </si>
  <si>
    <t>Keti Bandar, Sindh</t>
  </si>
  <si>
    <t>power station and coal jetty are to be part of the China-Pakistan Economic Zone</t>
  </si>
  <si>
    <t>Sindh Coal Authority</t>
  </si>
  <si>
    <t>Barauni Power Plant (660MW) (not funding)</t>
  </si>
  <si>
    <t>Rail and Port</t>
  </si>
  <si>
    <t>Jawaharpur coal-fired electrical power plant (1320MW)</t>
  </si>
  <si>
    <t>Alam Banskhali Chittagong Power Plant (1320MW)</t>
  </si>
  <si>
    <t>Khulna</t>
  </si>
  <si>
    <t>Burirdanga coal plant  (660MW)</t>
  </si>
  <si>
    <t>Alstom</t>
  </si>
  <si>
    <t>BHEL</t>
  </si>
  <si>
    <t>Payra coal power station in Kalapara Phase 2 (1320MW)</t>
  </si>
  <si>
    <t>Planned</t>
  </si>
  <si>
    <t>Coal Power - Expansion</t>
  </si>
  <si>
    <t>NEPC1</t>
  </si>
  <si>
    <t>Sum of Annual Emissions (MMTCO2)</t>
  </si>
  <si>
    <t>Guangdong Guangxin Holdings Group,</t>
  </si>
  <si>
    <t>8-year committed unsecured facility ; along with Bank of China and ICBC</t>
  </si>
  <si>
    <t>Captive coal-fired power plant (300MW)</t>
  </si>
  <si>
    <t>https://tradefinanceanalytics.com/data/transaction/50640/guangdong-guangxin-holdings-group</t>
  </si>
  <si>
    <t>JA Solar Holdings</t>
  </si>
  <si>
    <t>solar modules for a photo voltaic project</t>
  </si>
  <si>
    <t>https://tradefinanceanalytics.com/data/transaction/55654/ja-solar-holdings</t>
  </si>
  <si>
    <t>PT Supreme Energy Muara Laboh</t>
  </si>
  <si>
    <t>80MW Muara Laboh geothermal power plant</t>
  </si>
  <si>
    <t>South Solok in West Sumatra</t>
  </si>
  <si>
    <t>https://tradefinanceanalytics.com/data/transaction/55639/supreme-energy-muara-laboh</t>
  </si>
  <si>
    <t>The $439 million package $198 million loan from JBIC, $109 million of loans from the Asian Development Bank and $132 million from Bank of Tokyo-Mitsubishi UFJ, Mizuho and SMBC</t>
  </si>
  <si>
    <t>Jamshoro Coal-Fired Power Plant Expansion (1200MW)</t>
  </si>
  <si>
    <t>https://ijglobal.com/data/transaction/31998/jamshoro-coal-fired-power-plant-expansion-1200mw</t>
  </si>
  <si>
    <t>Sindh province</t>
  </si>
  <si>
    <t>80/20 blend of imported sub-bituminous coal and domestic lignite</t>
  </si>
  <si>
    <t>http://www.theindependentbd.com/printversion/details/34267
http://www.globalconstructionreview.com/news/more-death-and-injury-mar-chine7se-back7ed-co7al/</t>
  </si>
  <si>
    <t>http://www.sepco3.com/news_article.aspx?NewsId=416&amp;CateId=137</t>
  </si>
  <si>
    <t>Bankshali, Chittagong</t>
  </si>
  <si>
    <t xml:space="preserve">Bangladesh Power Development Board (PDB) </t>
  </si>
  <si>
    <t>Sepco Electric Power Construction Corporation</t>
  </si>
  <si>
    <t>Both the parties have agreed to finance 50% of the project</t>
  </si>
  <si>
    <t>Maheshkhali Island</t>
  </si>
  <si>
    <t>http://www.sourcewatch.org/index.php/Maheshkhali_power_station_(PowerChina)</t>
  </si>
  <si>
    <t>Maheshkhali power station (PowerChina) 1320-megawatt (MW)</t>
  </si>
  <si>
    <t>Tanjung Jati B Unit 5 and 6 (2000MW)</t>
  </si>
  <si>
    <t>https://ijglobal.com/data/transaction/37541?name=Muara%20Laboh%20Geothermal%20Power%20Plant%20(80MW)%20PPP&amp;link=%2Farticles%2F105528%2Ffinancial-close-for-muara-laboh-geothermal</t>
  </si>
  <si>
    <t>Huadian Chittagong</t>
  </si>
  <si>
    <t>Huadian Chittagong (1320MW)</t>
  </si>
  <si>
    <t>CHEC</t>
  </si>
  <si>
    <t>Masheshkhali - Cox's Bazar Dist, Chittagong</t>
  </si>
  <si>
    <t>Gazaria Power Plant (350MW)</t>
  </si>
  <si>
    <t>PC/HHPE</t>
  </si>
  <si>
    <t>RURAL POWER CO LTD</t>
  </si>
  <si>
    <t>Gazaria Upazila - Munshiganj Dist, Dhaka</t>
  </si>
  <si>
    <t>265 km (165 miles) southeast of Dhaka, expected to begin power generation by the end of 2019., under construction</t>
  </si>
  <si>
    <t>Kalapara Upazila - Patuakhali Dist, Barisal</t>
  </si>
  <si>
    <t xml:space="preserve">Banovici  </t>
  </si>
  <si>
    <t>Tuzla</t>
  </si>
  <si>
    <t>COMSAR ENERGY REPUBLIKA SRPSKA</t>
  </si>
  <si>
    <t>Ugljevik 3 (600MW), Ugljevik-Istok 2 and Delici coal mines</t>
  </si>
  <si>
    <t>Ugljevik, Srpska</t>
  </si>
  <si>
    <t>Tuzla B (450MW)</t>
  </si>
  <si>
    <t>Alstom, Siemens</t>
  </si>
  <si>
    <t>Gezouba International, CGGC</t>
  </si>
  <si>
    <t>Tuzla City</t>
  </si>
  <si>
    <t>GSEC (Korea)</t>
  </si>
  <si>
    <t>Palapye, Central</t>
  </si>
  <si>
    <t>SEPCO/HEBEI GROCHANG ENERGY</t>
  </si>
  <si>
    <t>Santa Catarina, Pedras Altas, RS</t>
  </si>
  <si>
    <t>KOH KONG POWER LIGHT LTD (EGCO/ITAL-THAI)</t>
  </si>
  <si>
    <t>Datang</t>
  </si>
  <si>
    <t>LAEM YAI SAEN (1830MW)</t>
  </si>
  <si>
    <t>Laem Yai Saen, Koh Kong</t>
  </si>
  <si>
    <t>Mejillones</t>
  </si>
  <si>
    <t>E-CL</t>
  </si>
  <si>
    <t>SKE&amp;C</t>
  </si>
  <si>
    <t>SKODA</t>
  </si>
  <si>
    <t>MEJILLONES 4</t>
  </si>
  <si>
    <t>COLBUN SA</t>
  </si>
  <si>
    <t>Doosan/Ansaldo</t>
  </si>
  <si>
    <t>Puerto Coronel</t>
  </si>
  <si>
    <t>HYUNDAI</t>
  </si>
  <si>
    <t>CMEC</t>
  </si>
  <si>
    <t>GREECE</t>
  </si>
  <si>
    <t>HARBIN</t>
  </si>
  <si>
    <t>DONGFANG</t>
  </si>
  <si>
    <t>Punjab</t>
  </si>
  <si>
    <t>SEPCO</t>
  </si>
  <si>
    <t>SEPCO3</t>
  </si>
  <si>
    <t>SEPCO2</t>
  </si>
  <si>
    <t>SHANGHAI</t>
  </si>
  <si>
    <t>HEPSEC</t>
  </si>
  <si>
    <t>TOSHIBA</t>
  </si>
  <si>
    <t>NTPC LTD</t>
  </si>
  <si>
    <t>TOSH-JSW</t>
  </si>
  <si>
    <t>UTTAR PRADESH RAJYA VIDYUT</t>
  </si>
  <si>
    <t>DOOSAN</t>
  </si>
  <si>
    <t>PT PLN PERSERO</t>
  </si>
  <si>
    <t>INDONESIA</t>
  </si>
  <si>
    <t>PT SUMBER SEGARA PRIMADAYA</t>
  </si>
  <si>
    <t>SEPCC3</t>
  </si>
  <si>
    <t>South Sumatra</t>
  </si>
  <si>
    <t>Banten</t>
  </si>
  <si>
    <t>North Sumatra</t>
  </si>
  <si>
    <t>PT TRUBA ALAM MANUNGGAL ENGRG</t>
  </si>
  <si>
    <t>KUALA TANJUNG-1 NO 1</t>
  </si>
  <si>
    <t>KUALA TANJUNG-1 NO 2</t>
  </si>
  <si>
    <t>Lampung</t>
  </si>
  <si>
    <t>CENTRAL PRIMA BAHARI 3</t>
  </si>
  <si>
    <t>CENTRAL PRIMA BAHARI 4</t>
  </si>
  <si>
    <t>PT GENERAL ENERGY BALI (GEB)</t>
  </si>
  <si>
    <t>SPESC</t>
  </si>
  <si>
    <t>CELUKAN BAWANG 3</t>
  </si>
  <si>
    <t>Bali</t>
  </si>
  <si>
    <t>ZTPCC</t>
  </si>
  <si>
    <t>West Java</t>
  </si>
  <si>
    <t>SAMSUNG</t>
  </si>
  <si>
    <t>SIEMENS</t>
  </si>
  <si>
    <t>Zhambyl</t>
  </si>
  <si>
    <t>SANGHI CEMTECH</t>
  </si>
  <si>
    <t>POKOT CEMENT PLANT 1</t>
  </si>
  <si>
    <t>KENYA</t>
  </si>
  <si>
    <t>Rift Valley</t>
  </si>
  <si>
    <t>POKOT CEMENT PLANT 2</t>
  </si>
  <si>
    <t>OAO ELECTRICHESKIYE STANTSII</t>
  </si>
  <si>
    <t>TBEA</t>
  </si>
  <si>
    <t>BISHKEK 12</t>
  </si>
  <si>
    <t>KYRGYZSTAN</t>
  </si>
  <si>
    <t>Bishkek</t>
  </si>
  <si>
    <t>BISHKEK 13</t>
  </si>
  <si>
    <t>PROPHECY POWER GENERATION LLC</t>
  </si>
  <si>
    <t>MONGOLIA</t>
  </si>
  <si>
    <t>Hovsgol</t>
  </si>
  <si>
    <t>OFF NATL L'ELEC L'EAU (ONEE)</t>
  </si>
  <si>
    <t>JERADA 4</t>
  </si>
  <si>
    <t>MOROCCO</t>
  </si>
  <si>
    <t>L'Oriental</t>
  </si>
  <si>
    <t>HITACHI</t>
  </si>
  <si>
    <t>PACIFIC HOLDINGS</t>
  </si>
  <si>
    <t>BENUE COAL 1</t>
  </si>
  <si>
    <t>NIGERIA</t>
  </si>
  <si>
    <t>Benue</t>
  </si>
  <si>
    <t>BENUE COAL 2</t>
  </si>
  <si>
    <t>PAKISTAN</t>
  </si>
  <si>
    <t>HARBIN ELECTRIC INTERNATIONAL</t>
  </si>
  <si>
    <t>KARACHI COAL 1</t>
  </si>
  <si>
    <t>THAR COAL BLOCK-I POW GEN CO</t>
  </si>
  <si>
    <t>THAR BLOCK-I NO 1</t>
  </si>
  <si>
    <t>THAR BLOCK-I NO 2</t>
  </si>
  <si>
    <t>SIDDIQSONS ENERGY</t>
  </si>
  <si>
    <t>BIN QASIM SIDDIQSONS 1</t>
  </si>
  <si>
    <t>RUYI MASOOD TEXTILE PARK</t>
  </si>
  <si>
    <t>RUYI MASOOD TEXTILE 1</t>
  </si>
  <si>
    <t>RUYI MASOOD TEXTILE 2</t>
  </si>
  <si>
    <t>NISHAT ENERGY LTD (NEL)</t>
  </si>
  <si>
    <t>NISHAT ENERGY 1</t>
  </si>
  <si>
    <t>THAR ELECTRICITY (PVT) LTD</t>
  </si>
  <si>
    <t>THAR BLOCK-VI NO 1</t>
  </si>
  <si>
    <t>THAR BLOCK-VI NO 2</t>
  </si>
  <si>
    <t>LUCKY ELECTRIC POWER CO LTD</t>
  </si>
  <si>
    <t>PORT QASIM LUCKY 1</t>
  </si>
  <si>
    <t>CHINA DATANG OVERSEAS INVEST</t>
  </si>
  <si>
    <t>PORT QASIM DATANG 1</t>
  </si>
  <si>
    <t>PORT QASIM DATANG 2</t>
  </si>
  <si>
    <t>ENERSUR SA</t>
  </si>
  <si>
    <t>ILO-2 NO 22</t>
  </si>
  <si>
    <t>PERU</t>
  </si>
  <si>
    <t>Moquegua</t>
  </si>
  <si>
    <t>HPCC1</t>
  </si>
  <si>
    <t>PHILIPPINES</t>
  </si>
  <si>
    <t>Batangas (CALABARZON)</t>
  </si>
  <si>
    <t>ALSTOM</t>
  </si>
  <si>
    <t>MAGELLAN UTILITIES DEV CORP</t>
  </si>
  <si>
    <t>BATANGAS BAY 1</t>
  </si>
  <si>
    <t>FUJI</t>
  </si>
  <si>
    <t>MARUBENI</t>
  </si>
  <si>
    <t>COMPLEXUL ENERGETIC OLTENIA SA</t>
  </si>
  <si>
    <t>ROVINARI 7</t>
  </si>
  <si>
    <t>ROMANIA</t>
  </si>
  <si>
    <t>Gorj</t>
  </si>
  <si>
    <t>OGK-2 (SECOND GENERATION CO)</t>
  </si>
  <si>
    <t>KV/HL3</t>
  </si>
  <si>
    <t>RUSSIA</t>
  </si>
  <si>
    <t>Chelyabinsk Oblast</t>
  </si>
  <si>
    <t>TROITSK GRES 11</t>
  </si>
  <si>
    <t>SUDANESE THERMAL POWER GEN CO</t>
  </si>
  <si>
    <t>ARKYIAI 1</t>
  </si>
  <si>
    <t>SUDAN</t>
  </si>
  <si>
    <t>Red Sea</t>
  </si>
  <si>
    <t>ARKYIAI 2</t>
  </si>
  <si>
    <t>ARKYIAI 3</t>
  </si>
  <si>
    <t>Mbeya</t>
  </si>
  <si>
    <t>NATIONAL POWER SUPPLY PCL</t>
  </si>
  <si>
    <t>A-POWER</t>
  </si>
  <si>
    <t>CHACHOENGSAO NPS 1</t>
  </si>
  <si>
    <t>THAILAND</t>
  </si>
  <si>
    <t>Chachoengsao</t>
  </si>
  <si>
    <t>CHACHOENGSAO NPS 2</t>
  </si>
  <si>
    <t>CHACHOENGSAO NPS 3</t>
  </si>
  <si>
    <t>CHACHOENGSAO NPS 4</t>
  </si>
  <si>
    <t>TURKEY</t>
  </si>
  <si>
    <t>HATTAT  ENERJI VE MADEN TIC</t>
  </si>
  <si>
    <t>Bartin</t>
  </si>
  <si>
    <t>BATI KARADENIZ 1</t>
  </si>
  <si>
    <t>BATI KARADENIZ 2</t>
  </si>
  <si>
    <t>HIDRO-GEN ENERJI ITHALAT</t>
  </si>
  <si>
    <t>SOMA KOLIN 1</t>
  </si>
  <si>
    <t>Manisa</t>
  </si>
  <si>
    <t>SOMA KOLIN 2</t>
  </si>
  <si>
    <t>ETI SODA AS</t>
  </si>
  <si>
    <t>BEYPAZARI COGEN 1</t>
  </si>
  <si>
    <t>Ankara</t>
  </si>
  <si>
    <t>BEYPAZARI COGEN 2</t>
  </si>
  <si>
    <t>Dubai</t>
  </si>
  <si>
    <t>SUMMIT POWER GROUP LLC</t>
  </si>
  <si>
    <t>SIE/HUAN</t>
  </si>
  <si>
    <t>TEXAS CLEAN ENERGY IGCC GT 1</t>
  </si>
  <si>
    <t>USA</t>
  </si>
  <si>
    <t>TX</t>
  </si>
  <si>
    <t>N/A</t>
  </si>
  <si>
    <t>UZBEKENERGO</t>
  </si>
  <si>
    <t>Tashkent</t>
  </si>
  <si>
    <t>ELECTRICITY OF VIETNAM (EVN)</t>
  </si>
  <si>
    <t>TAN TAO ENERGY CORP</t>
  </si>
  <si>
    <t>KIEN LUONG-1 NO 1</t>
  </si>
  <si>
    <t>Kien Giang</t>
  </si>
  <si>
    <t>KIEN LUONG-1 NO 2</t>
  </si>
  <si>
    <t>CHINA SOUTHERN POWER GRID CO</t>
  </si>
  <si>
    <t>Thai Binh</t>
  </si>
  <si>
    <t>PETROVIETNAM POWER CORP</t>
  </si>
  <si>
    <t>PTSC</t>
  </si>
  <si>
    <t>Hau Giang</t>
  </si>
  <si>
    <t>VIETNAM NATL INDUSTRY CONSTR</t>
  </si>
  <si>
    <t>DAE/PVC</t>
  </si>
  <si>
    <t>DOOS/PAC</t>
  </si>
  <si>
    <t>ZIMBABWE</t>
  </si>
  <si>
    <t>Matabeleland North</t>
  </si>
  <si>
    <t>PER GROUP VENTURES (PVT) LTD</t>
  </si>
  <si>
    <t>CSCEC</t>
  </si>
  <si>
    <t>LUSULU 2</t>
  </si>
  <si>
    <t>LUSULU 3</t>
  </si>
  <si>
    <t>LUSULU 4</t>
  </si>
  <si>
    <t>expansion or other?</t>
  </si>
  <si>
    <t xml:space="preserve">SURALAYA 2 BANTEN </t>
  </si>
  <si>
    <t>http://www.sourcewatch.org/index.php/Florina_(Meliti)_Power_Station</t>
  </si>
  <si>
    <t>http://www.reuters.com/article/public-power-cmec-memorandum-idUSL8N1BQ0NH</t>
  </si>
  <si>
    <t>OBOR</t>
  </si>
  <si>
    <t>PUBLIC POWER CORP SA (DEI) (PPC)</t>
  </si>
  <si>
    <t>Florina (450 MW)</t>
  </si>
  <si>
    <t>Etah, Uttar Pradesh</t>
  </si>
  <si>
    <t>https://www.worldcoal.com/power/18012017/doosan-to-construct-coal-fired-thermal-power-plants-in-india/</t>
  </si>
  <si>
    <t>http://english.hankyung.com/finance/2016/12/26/1528561/doosan-heavy-ind-rises-on-news-of-winning-28-tril-won-indian-project</t>
  </si>
  <si>
    <t>http://www.4-traders.com/PT-TAMBANG-BATUBARA-BUKIT-6496448/news/PT-Tambang-Batubara-Bukit-Asam-Tbk-PTBA-Journey-2015-21907169/?iCStream=1
http://www.sourcewatch.org/index.php/International_Chinese_coal_projects</t>
  </si>
  <si>
    <t>Tanjung Enim Coal-Fired Mine-Mouth Power Plant (Sumsel 8 - Bangko Tengah)</t>
  </si>
  <si>
    <t>2016</t>
  </si>
  <si>
    <t>KEPCO /JSC BALKHASH TPP</t>
  </si>
  <si>
    <t>Hema Amasra (2x660 MW)</t>
  </si>
  <si>
    <t>may be stalled according to Platts, recheck later</t>
  </si>
  <si>
    <t>http://www.bu.edu/cgef/#/2016/EnergySource/Coal</t>
  </si>
  <si>
    <t>http://www.uzdaily.com/articles-id-23620.htm</t>
  </si>
  <si>
    <t>construction started 2015</t>
  </si>
  <si>
    <t>Baganuur (700MW)</t>
  </si>
  <si>
    <t>Deferred</t>
  </si>
  <si>
    <t xml:space="preserve">Ref No. is 14-083.  </t>
  </si>
  <si>
    <t>TBD China Africa Development Fund</t>
  </si>
  <si>
    <t>TBD China Development Bank and Sinosure</t>
  </si>
  <si>
    <t>TBD Ex-Im Bank, ICBC, and CDB.</t>
  </si>
  <si>
    <t>TBD Export-Import Bank of China and Sinosure</t>
  </si>
  <si>
    <t>non-EU</t>
  </si>
  <si>
    <t>North America</t>
  </si>
  <si>
    <t>Central Asia and Caucasus</t>
  </si>
  <si>
    <t>East Asia</t>
  </si>
  <si>
    <t>could be all equity</t>
  </si>
  <si>
    <t>Coal Power Plant - Captive</t>
  </si>
  <si>
    <t>Equipment (GENMFR)</t>
  </si>
  <si>
    <t>Cilacap coal-fired power plant (660MW)</t>
  </si>
  <si>
    <t>The firm will also build another two generators, each with 660MW capacity, at the Jawaharpur coal-fired electrical power plant in Etah. Doosan expects to complete work at the Obra-C and Jawaharpur sites by October 2020 and February 2021 respectively. perhaps domestic financing, TBD</t>
  </si>
  <si>
    <t>Sinar Mas Group, PT DIAN SWASTATIKA SENTOSA TBK</t>
  </si>
  <si>
    <t>http://fscwire.com/sites/default/files/news_release_pdf/ProphecyDec182015.pdf</t>
  </si>
  <si>
    <t>CHANDGANA Coal Plant Phase 1 (300MW)</t>
  </si>
  <si>
    <t>CHANDGANA Coal Plant Phase 2 (300MW)</t>
  </si>
  <si>
    <t>http://www.prophecydev.com/projects/chandgana-power-plant/</t>
  </si>
  <si>
    <t>http://24.kg/archive/en/community/175354-news24.html/</t>
  </si>
  <si>
    <t>may be a duplicate of the project Oracle Power Plant</t>
  </si>
  <si>
    <t>Export Credit &amp; Insurance</t>
  </si>
  <si>
    <t>Uruguay</t>
  </si>
  <si>
    <t>Pintado Wind Farm Financing (Luz de Mar) (88MW)</t>
  </si>
  <si>
    <t>Gemini Offshore Wind Farm (600MW)</t>
  </si>
  <si>
    <t>Offshore Wind</t>
  </si>
  <si>
    <t>Orosi Wind project Financing (50MW)</t>
  </si>
  <si>
    <t>Costa Rica</t>
  </si>
  <si>
    <t>Atacama 1 Solar Complex (210MW)</t>
  </si>
  <si>
    <t>Photovoltaic Solar,Thermal Solar</t>
  </si>
  <si>
    <t>Thermal Solar</t>
  </si>
  <si>
    <t>Nacional Financiera - Nafinsa</t>
  </si>
  <si>
    <t>La Bufa Wind Farm (130MW)</t>
  </si>
  <si>
    <t>Adenium Energy Capital Solar PV Portfolio (30MW)</t>
  </si>
  <si>
    <t>Jordan</t>
  </si>
  <si>
    <t>Aela Energia Chilean Wind Portfolio (299MW)</t>
  </si>
  <si>
    <t>Norfund</t>
  </si>
  <si>
    <t>Agahozo-Shalom Youth PV Solar Plant (8.5MW)</t>
  </si>
  <si>
    <t>Sub-Saharan Africa</t>
  </si>
  <si>
    <t>Rwanda</t>
  </si>
  <si>
    <t>Aguas El Carmen Hydro Power Project (85MW)</t>
  </si>
  <si>
    <t>Nicaragua</t>
  </si>
  <si>
    <t>Pre-financing</t>
  </si>
  <si>
    <t>Solar Panama (10.1MW) and Solar Azuero (11.2MW) Power Plants</t>
  </si>
  <si>
    <t>Panama</t>
  </si>
  <si>
    <t>Noor PV I Solar Trio (177MW) PPP</t>
  </si>
  <si>
    <t>Project Skywalker Onshore Wind Farm (1GW) 40% Investment Facility</t>
  </si>
  <si>
    <t>Norway</t>
  </si>
  <si>
    <t>Al Rajef Wind Farm (82MW)</t>
  </si>
  <si>
    <t>Alcazar Energy Solar 1 PV Plant (50MW)</t>
  </si>
  <si>
    <t>Alcom Energy Solar PV Plant (50MW)</t>
  </si>
  <si>
    <t>Alisios Wind Farms (80MW)</t>
  </si>
  <si>
    <t>Amakhala Emoyeni Phase 1 Wind Farm Financing (134.4MW)</t>
  </si>
  <si>
    <t>Amanecer Solar CAP Plant Financing (100MW)</t>
  </si>
  <si>
    <t>Arabia One Solar PV Plant (10MW)</t>
  </si>
  <si>
    <t>Ararat Wind Farm (240MW)</t>
  </si>
  <si>
    <t>Victoria</t>
  </si>
  <si>
    <t>Ashelim Solar Thermal Plant (121MW)</t>
  </si>
  <si>
    <t>Aura II Solar PV Plant (61MW)</t>
  </si>
  <si>
    <t>Honduras</t>
  </si>
  <si>
    <t>Aura Solar PV Financing (36.8MW)</t>
  </si>
  <si>
    <t>Banie Wind Farm (106MW)</t>
  </si>
  <si>
    <t>Banie Wind Farm Phase 2 (56MW)</t>
  </si>
  <si>
    <t>Beatrice Offshore Wind Farm (588MW)</t>
  </si>
  <si>
    <t>Scotland</t>
  </si>
  <si>
    <t>Belle River Wind Farm (100MW)</t>
  </si>
  <si>
    <t>Ontario</t>
  </si>
  <si>
    <t>Belwind 2 Offshore Wind Phase 2 (165MW)</t>
  </si>
  <si>
    <t>Belgium</t>
  </si>
  <si>
    <t>Hawa Wind Farm (50MW) PPP</t>
  </si>
  <si>
    <t>Jordan One Solar PV Plant (66.4MW) PPP</t>
  </si>
  <si>
    <t>Boskov Most Hydro Power Plant (70MW)</t>
  </si>
  <si>
    <t>Butendiek offshore wind financing (288MW)</t>
  </si>
  <si>
    <t>Cerro de Hula Wind Farm Expansion Financing (24MW)</t>
  </si>
  <si>
    <t>Cerro Pabellon Geothermal Power Plant (48MW)</t>
  </si>
  <si>
    <t>Chaba Wind Farm Financing (21MW)</t>
  </si>
  <si>
    <t>Chitose Solar PV Power Plant (38.8MW)</t>
  </si>
  <si>
    <t>Crucea North Wind Farm (108MW)</t>
  </si>
  <si>
    <t>Daehan Wind Farm (50MW)</t>
  </si>
  <si>
    <t>De Aar Phase I North Wind Power (96.48MW)</t>
  </si>
  <si>
    <t>De Aar Phase II North Wind Power (138.96MW)</t>
  </si>
  <si>
    <t>Delingha Concentrating Solar Power Park (50MW)</t>
  </si>
  <si>
    <t>Delta Solar PV Plant (50MW)</t>
  </si>
  <si>
    <t>Dolovo Wind Farm (158MW)</t>
  </si>
  <si>
    <t>Dudgeon Offshore Wind Farm (402MW)</t>
  </si>
  <si>
    <t>England</t>
  </si>
  <si>
    <t>EDPR Solar PV Portfolio (50MW)</t>
  </si>
  <si>
    <t>EJRE Solar PV Plant (20MW)</t>
  </si>
  <si>
    <t>El Pelicano Solar PV Power Plant (100MW)</t>
  </si>
  <si>
    <t>Empire Solar PV Plant (67MW) PPP</t>
  </si>
  <si>
    <t>Enel Wind Brazil Portfolio (342MW)</t>
  </si>
  <si>
    <t>Bahia,Pernambuco,Rio Grande do Norte</t>
  </si>
  <si>
    <t>Evermore Renewable Energy CHP Financing (15.8MW)</t>
  </si>
  <si>
    <t>Northern Ireland</t>
  </si>
  <si>
    <t>Biomass</t>
  </si>
  <si>
    <t>Falcon Solar PV Plant (21MW)</t>
  </si>
  <si>
    <t>Fortel-Bonnieres and Saint-François Wind Financing (45.6MW)</t>
  </si>
  <si>
    <t>Gabal El Zeit Wind Farm (200MW)</t>
  </si>
  <si>
    <t>Galloper Offshore Wind Farm (336MW)</t>
  </si>
  <si>
    <t>Generacion Eolica Minas Financing (42MW)</t>
  </si>
  <si>
    <t>Gestamp Solar PV Plant (50MW)</t>
  </si>
  <si>
    <t>Gibson Bay Wind Farm (111MW)</t>
  </si>
  <si>
    <t>Gori Wind Farm (20.7MW)</t>
  </si>
  <si>
    <t>Grassridge Wind Farm Financing (61.5MW)</t>
  </si>
  <si>
    <t>Green Land Solar PV Plant (10MW)</t>
  </si>
  <si>
    <t>Gulshat PV Solar Plant (48MW)</t>
  </si>
  <si>
    <t>Bogoria-Silali Geothermal Power Plant (800MW) Additional Facility</t>
  </si>
  <si>
    <t>Mohammed bin Rashid Al Maktoum Solar PV Phase III (800MW) PPP</t>
  </si>
  <si>
    <t>United Arab Emirates</t>
  </si>
  <si>
    <t>Hayabusa Wind Farm Portfolio Financing 2015 (69.6MW)</t>
  </si>
  <si>
    <t>England,Scotland</t>
  </si>
  <si>
    <t>Hornsdale Wind Farm Phase 2 (100MW)</t>
  </si>
  <si>
    <t>South Australia</t>
  </si>
  <si>
    <t>Horus Solar PV Plant (93MW)</t>
  </si>
  <si>
    <t>Guatemala</t>
  </si>
  <si>
    <t>ICE Costa Rica Geothermal Portfolio (155MW)</t>
  </si>
  <si>
    <t>Ilangalethu 1 CSP Power Plant (100MW)</t>
  </si>
  <si>
    <t>Imavere and 38MW Osula Biomass CHP Plants (38MW)</t>
  </si>
  <si>
    <t>Estonia</t>
  </si>
  <si>
    <t>Biomass,Co Generation</t>
  </si>
  <si>
    <t>Jelinak wind farm financing (30MW)</t>
  </si>
  <si>
    <t>Jordan Solar One PV Plant (20MW)</t>
  </si>
  <si>
    <t>Kabeli-A Hydroelectric Project IPP (37.6MW)</t>
  </si>
  <si>
    <t>Nepal</t>
  </si>
  <si>
    <t>Kakamas hydroelectric power plant (12.57MW)</t>
  </si>
  <si>
    <t>Kathu CSP Power Plant (100MW)</t>
  </si>
  <si>
    <t>Kenya Wind &amp; Solar PV Portfolio (10.2MW)</t>
  </si>
  <si>
    <t>Khalladi Wind Farm (120MW)</t>
  </si>
  <si>
    <t>Kipeto Wind Farm (100MW)</t>
  </si>
  <si>
    <t>Kiwano Solar Thermal Plant (100MW)</t>
  </si>
  <si>
    <t>Krnovo Wind Farm (72MW)</t>
  </si>
  <si>
    <t>KTDA Run-of-river Hydro Power Plants (16MW)</t>
  </si>
  <si>
    <t>Kulan PV Solar Farm (29MW)</t>
  </si>
  <si>
    <t>La Coste Solar Farm Portfolio (57.6MW)</t>
  </si>
  <si>
    <t>La Huayca II Solar PV Financing (29.1MW)</t>
  </si>
  <si>
    <t>Laguna Colorada Geothermal Power Plant Second Stage (100MW)</t>
  </si>
  <si>
    <t>Bolivia</t>
  </si>
  <si>
    <t>Lake Turkana Wind Farm (300MW)</t>
  </si>
  <si>
    <t>Finnfund</t>
  </si>
  <si>
    <t>Los Loros Solar PV Plant (54MW)</t>
  </si>
  <si>
    <t>Los Molinos Hydro Power Plants (39.8MW)</t>
  </si>
  <si>
    <t>Los Santos I Solar PV Plant (14MW)</t>
  </si>
  <si>
    <t>Low Marnham Biomass CHP Plant (42MW)</t>
  </si>
  <si>
    <t>Lower Solu Hydropower IPP (82MW)</t>
  </si>
  <si>
    <t>Lubilia Small Hydro Power Plant (5.4MW)</t>
  </si>
  <si>
    <t>Uganda</t>
  </si>
  <si>
    <t>Emerging Africa Infrastructure Fund</t>
  </si>
  <si>
    <t>Lusaka Solar PV Plant (55MW)</t>
  </si>
  <si>
    <t>Luz del Norte Solar PV Plant (141MW)</t>
  </si>
  <si>
    <t>Mafraq Solar PV Plant (60.3MW)</t>
  </si>
  <si>
    <t>Malvern Wind Farm (36.3MW)</t>
  </si>
  <si>
    <t>Jamaica</t>
  </si>
  <si>
    <t>Marcona Wind Farm (32.1MW)</t>
  </si>
  <si>
    <t>Peru</t>
  </si>
  <si>
    <t>Corporacion Andina de Fomento (CAF)</t>
  </si>
  <si>
    <t>Masdar Jordan Solar PV Plant (200MW)</t>
  </si>
  <si>
    <t>Al Fujeij Wind Farm (89.1MW) PPP</t>
  </si>
  <si>
    <t>Megalim Solar Thermal Plant (121MW)</t>
  </si>
  <si>
    <t>EnBW Baltic 2 Wind Farm (288MW)</t>
  </si>
  <si>
    <t>EnBW Baltic 2 Wind Farm Additional Facility (288MW)</t>
  </si>
  <si>
    <t>Meru Wind Farm Phase 1 (100MW)</t>
  </si>
  <si>
    <t>Mocuba Solar PV Plant (40.5MW)</t>
  </si>
  <si>
    <t>Nyamwamba (9.2MW) and Mpanga (18MW) Small Hydro Power Plants</t>
  </si>
  <si>
    <t>Natelu (9.5MW) and Yarnel (9.5MW) Solar PV Plants</t>
  </si>
  <si>
    <t>Paris (9.8MW) and Los Angeles (9.8MW) Solar PV Plants</t>
  </si>
  <si>
    <t>Melfi (Alfa) Wind Farm (28.8MW)</t>
  </si>
  <si>
    <t>Mecanismos de Energia Renovable (Mecer) Solar PV Plant (25MW)</t>
  </si>
  <si>
    <t>Ouarzazate Thermal Solar IPP (Noor Phase I) (160MW)</t>
  </si>
  <si>
    <t>Murray Onshore Wind  Rothes II  &amp; Mid Hill Wind Financing (117.3MW)</t>
  </si>
  <si>
    <t>Mycielin Wind Farm (48MW)</t>
  </si>
  <si>
    <t>Negev Solar Thermal Plant (121MW)</t>
  </si>
  <si>
    <t>Negrete Cuel Wind Farm Financing (33MW)</t>
  </si>
  <si>
    <t>Negros Occidental Biomass Power Plants (70MW)</t>
  </si>
  <si>
    <t>Noor II Concentrated Solar Power (CSP) Plant (200MW)</t>
  </si>
  <si>
    <t>Noor III Concentrated Solar Power (CSP) Plant (150MW)</t>
  </si>
  <si>
    <t>Noor Midelt CSP-PV Complex (800MW)</t>
  </si>
  <si>
    <t>Noor Talifalet Solar PV Trio (120MW)</t>
  </si>
  <si>
    <t>NOP Agrowind Farm (195MW)</t>
  </si>
  <si>
    <t>Nordergruende Offshore Wind Farm (111MW)</t>
  </si>
  <si>
    <t>Nordsee One Offshore Wind Farm (332MW)</t>
  </si>
  <si>
    <t>Norther Offshore Wind Farm (370MW)</t>
  </si>
  <si>
    <t>Northern Cape Wind Farms (360MW)</t>
  </si>
  <si>
    <t>Orla Wind Farm Phase 1 (22.5MW)</t>
  </si>
  <si>
    <t>Oruro Solar PV Plant (50MW)</t>
  </si>
  <si>
    <t>Oryx Solar PV Plant (10MW)</t>
  </si>
  <si>
    <t>Ouagadougou Solar PV Plant (30MW)</t>
  </si>
  <si>
    <t>Burkina Faso</t>
  </si>
  <si>
    <t>Morocco (ONEE) Wind Power Programme (850MW)</t>
  </si>
  <si>
    <t>Pacifico Solar Programme (81.7MW)</t>
  </si>
  <si>
    <t>Palmatir Wind Financing (50MW)</t>
  </si>
  <si>
    <t>Palowo Wind Farm Phase 1 Financing (79.5MW)</t>
  </si>
  <si>
    <t>Pampa Wind Farm Uruguay (141.6MW)</t>
  </si>
  <si>
    <t>Pan African Solar PV Plant (75MW)</t>
  </si>
  <si>
    <t>Penonome II Wind Farm (215MW)</t>
  </si>
  <si>
    <t>PEPSA Wind Farms Portfolio (103.5MW)</t>
  </si>
  <si>
    <t>Bord Gais Wind Farm Portfolio Acquistion 2014</t>
  </si>
  <si>
    <t>Ireland</t>
  </si>
  <si>
    <t>Polesine San Gabriel Wind Farm Financing (50MW)</t>
  </si>
  <si>
    <t>Portugal Floating Offshore Wind (25MW)</t>
  </si>
  <si>
    <t>Portugal</t>
  </si>
  <si>
    <t>Pozo Almonte and Calama Solar Financing (26.1MW)</t>
  </si>
  <si>
    <t>Cemex IFC Facility</t>
  </si>
  <si>
    <t>Manufacturing,Onshore Wind</t>
  </si>
  <si>
    <t>Providencia Solar PV Plant (100MW)</t>
  </si>
  <si>
    <t>El Salvador</t>
  </si>
  <si>
    <t>Redstone CSP Plant (100MW)</t>
  </si>
  <si>
    <t>Cerradinho Bioenergia Biomass Capacity Expansion</t>
  </si>
  <si>
    <t>Goiás</t>
  </si>
  <si>
    <t>CerradinhoBio IFC Facility</t>
  </si>
  <si>
    <t>ReNew Power Portfolio Financing</t>
  </si>
  <si>
    <t>Andhra Pradesh,Gujarat,Jharkhand,Karnataka,Madhya Pradesh</t>
  </si>
  <si>
    <t>Rentel Offshore Wind Farm (309MW)</t>
  </si>
  <si>
    <t>Rudine Wind Power Plant (34.2MW)</t>
  </si>
  <si>
    <t>Sainshand Wind Farm (55MW)</t>
  </si>
  <si>
    <t>San Andres Solar PV Plant (50.7MW)</t>
  </si>
  <si>
    <t>San Juan Wind Farm (185MW)</t>
  </si>
  <si>
    <t>Scatec Segou Solar PV Plant (33MW)</t>
  </si>
  <si>
    <t>Mali</t>
  </si>
  <si>
    <t>Seegronan and Crockandun Wind Farms (29.1MW)</t>
  </si>
  <si>
    <t>Seigneurie de Beaupre Wind Farm Financing Phase 2 (68MW)</t>
  </si>
  <si>
    <t>Quebec</t>
  </si>
  <si>
    <t>Shams Ma’an Solar PV Plant (52.5MW)</t>
  </si>
  <si>
    <t>Shamsuna Solar PV Plant (10MW)</t>
  </si>
  <si>
    <t>Sharm El-Sheikh Solar PV Plant (40MW)</t>
  </si>
  <si>
    <t>Silute Wind Farm (60MW)</t>
  </si>
  <si>
    <t>Lithuania</t>
  </si>
  <si>
    <t>Siti Small Hydro Power Plant (5MW)</t>
  </si>
  <si>
    <t>Skogberget wind farm financing (84.6MW)</t>
  </si>
  <si>
    <t>Sweden</t>
  </si>
  <si>
    <t>Skurpie Wind Farm Phase II Financing 2014 (36.8MW)</t>
  </si>
  <si>
    <t>Sky Solar's Uruguay PV portfolio (69.9MW)</t>
  </si>
  <si>
    <t>Solem Solar PV Complex (290MW)</t>
  </si>
  <si>
    <t>Soroti Solar Power Plant (10MW)</t>
  </si>
  <si>
    <t>Southgate PV Solar Farm (50MW)</t>
  </si>
  <si>
    <t>Starsol Solar PV Plant (40MW)</t>
  </si>
  <si>
    <t>Chad</t>
  </si>
  <si>
    <t>SunEdison Jordan Solar PV Plant (23.8MW)</t>
  </si>
  <si>
    <t>Tafila Wind Farm (49.5 MW)</t>
  </si>
  <si>
    <t>Tafila wind farm financing (117MW)</t>
  </si>
  <si>
    <t>Taiba Ndiaye Wind Farm (158MW)</t>
  </si>
  <si>
    <t>Talas de Maciel I Wind Farm (50MW)</t>
  </si>
  <si>
    <t>Tallentire Hill &amp; 10MW Meikle Carewe Wind farm financing (12MW)</t>
  </si>
  <si>
    <t>Taqa Arabia Solar PV Plant (50MW)</t>
  </si>
  <si>
    <t>Taqa Solar Reserve Solar PV Plant (50MW)</t>
  </si>
  <si>
    <t>Taralga Wind Farm Financing (106.8MW)</t>
  </si>
  <si>
    <t>New South Wales</t>
  </si>
  <si>
    <t>Tauron Distribution Network Upgrade 2014</t>
  </si>
  <si>
    <t>Small Hydro,Transmission &amp; Distribution</t>
  </si>
  <si>
    <t>Tees CHP Biomass Plant (299MW)</t>
  </si>
  <si>
    <t>Tees Renewable Energy Plant (299MW)</t>
  </si>
  <si>
    <t>Temiscouata I Wind Park (23.5MW)</t>
  </si>
  <si>
    <t>Temiscouata II Wind Farm (50MW)</t>
  </si>
  <si>
    <t>Ten Merina Solar PV Plant (30MW)</t>
  </si>
  <si>
    <t>Terna Energy Additional Facility 2016</t>
  </si>
  <si>
    <t>Theistareykir Geothermal Plant (90MW)</t>
  </si>
  <si>
    <t>Iceland</t>
  </si>
  <si>
    <t>Tilbury Biomass Plant (40MW)</t>
  </si>
  <si>
    <t>Topolog-Dorobantu Wind Farm (84MW)</t>
  </si>
  <si>
    <t>Tororo Solar PV Power Plant (10MW)</t>
  </si>
  <si>
    <t>Tres Hermanas Wind Farm (97.15MW)</t>
  </si>
  <si>
    <t>Tres Mesas Wind Farm (148.5MW)</t>
  </si>
  <si>
    <t>Tsetsii Wind Farm (50MW)</t>
  </si>
  <si>
    <t>Valle Solar PV Plant (70MW)</t>
  </si>
  <si>
    <t>Sandbank Offshore Wind Project (288MW)</t>
  </si>
  <si>
    <t>Veja Mate Offshore Wind Farm (400MW)</t>
  </si>
  <si>
    <t>Vents du Kempt Wind Farm Financing (101MW)</t>
  </si>
  <si>
    <t>Viger-Denonville Wind Farm Financing (25MW)</t>
  </si>
  <si>
    <t>Waainek Wind Farm Financing (24MW)</t>
  </si>
  <si>
    <t>West Nile CSP Plant (100MW)</t>
  </si>
  <si>
    <t>White Rock Wind Farm Stage 1 (175MW)</t>
  </si>
  <si>
    <t>Ashmore and Cartier Islands,Canberra,Coral Sea Islands,New South Wales,Northern Territory,Queensland,South Australia,Tasmania,Victoria,Western Australia</t>
  </si>
  <si>
    <t>Widnes Biomass Plant (20.2MW)</t>
  </si>
  <si>
    <t>Windsor PV Solar Farm (50MW)</t>
  </si>
  <si>
    <t>Xina Solar One PPP (100MW)</t>
  </si>
  <si>
    <t>Yereimentau Wind Plant (50MW)</t>
  </si>
  <si>
    <t>Zina Solar PV Plant (26.8MW)</t>
  </si>
  <si>
    <t>Belgian Investment Company for Developing Countries</t>
  </si>
  <si>
    <t>Finland</t>
  </si>
  <si>
    <t>Banco Nacional de Comercio Exterior - Bancomext</t>
  </si>
  <si>
    <t>Multilateral (other)</t>
  </si>
  <si>
    <t>OPEC Fund for International Development</t>
  </si>
  <si>
    <t>Black Sea Trade and Development Bank</t>
  </si>
  <si>
    <t>Banco Centroamericano de Integracion Economica (CABEI)</t>
  </si>
  <si>
    <t>Arab Petroleum Investments Corporation</t>
  </si>
  <si>
    <t>East African Development Bank</t>
  </si>
  <si>
    <t>Eastern and Southern African Trade and Development Bank</t>
  </si>
  <si>
    <t xml:space="preserve">EU-Africa Infrastructure Trust Fund (EU-AITF) </t>
  </si>
  <si>
    <t>China Co-financing Fund for Latin America and the Caribbean</t>
  </si>
  <si>
    <t>North American Development Bank</t>
  </si>
  <si>
    <t xml:space="preserve">Interact Climate Change Facility </t>
  </si>
  <si>
    <t>European Union</t>
  </si>
  <si>
    <t>Inter-American Investment Corporation</t>
  </si>
  <si>
    <t>DANIDA</t>
  </si>
  <si>
    <t>EU</t>
  </si>
  <si>
    <t>Austria</t>
  </si>
  <si>
    <t>OeEB</t>
  </si>
  <si>
    <t>DEG</t>
  </si>
  <si>
    <t>KfW IPEX Bank</t>
  </si>
  <si>
    <t>Japan International Cooperation Agency</t>
  </si>
  <si>
    <t>African Development Fund</t>
  </si>
  <si>
    <t>International Development Association</t>
  </si>
  <si>
    <t>Export-Import Bank of Korea</t>
  </si>
  <si>
    <t>Export Import Bank of the United States</t>
  </si>
  <si>
    <t>Government of Canada</t>
  </si>
  <si>
    <t>Export Development Canada</t>
  </si>
  <si>
    <t>Climate Investment Funds</t>
  </si>
  <si>
    <t>Japan Bank for International Cooperation</t>
  </si>
  <si>
    <t>Clean Energy Finance Corporation</t>
  </si>
  <si>
    <t>Development Bank of Japan</t>
  </si>
  <si>
    <t>Government of Germany</t>
  </si>
  <si>
    <t>Tanjung Tiram, South Konawe, Southeast Sulawesi</t>
  </si>
  <si>
    <t>https://ijglobal.com/data/transaction/16716/boskov-most-hydro-power-plant-70mw</t>
  </si>
  <si>
    <t>https://ijglobal.com/data/transaction/16901/gabal-el-zeit-wind-farm-200mw</t>
  </si>
  <si>
    <t>https://ijglobal.com/data/transaction/19226/negev-solar-thermal-plant-121mw</t>
  </si>
  <si>
    <t>https://ijglobal.com/data/transaction/19433/beatrice-offshore-wind-farm-588mw</t>
  </si>
  <si>
    <t>https://ijglobal.com/data/transaction/19473/tees-renewable-energy-plant-299mw</t>
  </si>
  <si>
    <t>https://ijglobal.com/data/transaction/19527/ararat-wind-farm-240mw</t>
  </si>
  <si>
    <t>https://ijglobal.com/data/transaction/19534/veja-mate-offshore-wind-farm-400mw</t>
  </si>
  <si>
    <t>https://ijglobal.com/data/transaction/19680/butendiek-offshore-wind-financing-288mw</t>
  </si>
  <si>
    <t>https://ijglobal.com/data/transaction/20109/al-fujeij-wind-farm-891mw-ppp</t>
  </si>
  <si>
    <t>https://ijglobal.com/data/transaction/20166/dudgeon-offshore-wind-farm-402mw</t>
  </si>
  <si>
    <t>https://ijglobal.com/data/transaction/20234/lake-turkana-wind-farm-300mw</t>
  </si>
  <si>
    <t>https://ijglobal.com/data/transaction/21380/ouarzazate-thermal-solar-ipp-noor-phase-i-160mw</t>
  </si>
  <si>
    <t>https://ijglobal.com/data/transaction/22484/belwind-2-offshore-wind-phase-2-165mw</t>
  </si>
  <si>
    <t>https://ijglobal.com/data/transaction/25356/taiba-ndiaye-wind-farm-158mw</t>
  </si>
  <si>
    <t>https://ijglobal.com/data/transaction/25629/palmatir-wind-financing-50mw</t>
  </si>
  <si>
    <t>https://ijglobal.com/data/transaction/25895/ashelim-solar-thermal-plant-121mw</t>
  </si>
  <si>
    <t>https://ijglobal.com/data/transaction/26094/cerro-de-hula-wind-farm-expansion-financing-24mw</t>
  </si>
  <si>
    <t>https://ijglobal.com/data/transaction/26095/orosi-wind-project-financing-50mw</t>
  </si>
  <si>
    <t>https://ijglobal.com/data/transaction/26112/tres-hermanas-wind-farm-9715mw</t>
  </si>
  <si>
    <t>https://ijglobal.com/data/transaction/26128/negrete-cuel-wind-farm-financing-33mw</t>
  </si>
  <si>
    <t>https://ijglobal.com/data/transaction/26159/polesine-san-gabriel-wind-farm-financing-50mw</t>
  </si>
  <si>
    <t>https://ijglobal.com/data/transaction/26256/murray-onshore-wind-rothes-ii-and-mid-hill-wind-financing-1173mw</t>
  </si>
  <si>
    <t>https://ijglobal.com/data/transaction/26446/pintado-wind-farm-financing-luz-de-mar-88mw</t>
  </si>
  <si>
    <t>https://ijglobal.com/data/transaction/26513/vents-du-kempt-wind-farm-financing-101mw</t>
  </si>
  <si>
    <t>https://ijglobal.com/data/transaction/26514/amakhala-emoyeni-phase-1-wind-farm-financing-1344mw</t>
  </si>
  <si>
    <t>https://ijglobal.com/data/transaction/27591/grassridge-wind-farm-financing-615mw</t>
  </si>
  <si>
    <t>https://ijglobal.com/data/transaction/27592/waainek-wind-farm-financing-24mw</t>
  </si>
  <si>
    <t>https://ijglobal.com/data/transaction/27593/chaba-wind-farm-financing-21mw</t>
  </si>
  <si>
    <t>https://ijglobal.com/data/transaction/27744/aura-solar-pv-financing-368mw</t>
  </si>
  <si>
    <t>https://ijglobal.com/data/transaction/27761/pozo-almonte-and-calama-solar-financing-261mw</t>
  </si>
  <si>
    <t>https://ijglobal.com/data/transaction/27764/evermore-renewable-energy-chp-financing-158mw</t>
  </si>
  <si>
    <t>https://ijglobal.com/data/transaction/27790/la-huayca-ii-solar-pv-financing-291mw</t>
  </si>
  <si>
    <t>https://ijglobal.com/data/transaction/27810/viger-denonville-wind-farm-financing-25mw</t>
  </si>
  <si>
    <t>https://ijglobal.com/data/transaction/27813/generacion-eolica-minas-financing-42mw</t>
  </si>
  <si>
    <t>https://ijglobal.com/data/transaction/27878/amanecer-solar-cap-plant-financing-100mw</t>
  </si>
  <si>
    <t>https://ijglobal.com/data/transaction/27919/taralga-wind-farm-financing-1068mw</t>
  </si>
  <si>
    <t>https://ijglobal.com/data/transaction/27924/skogberget-wind-farm-financing-846mw</t>
  </si>
  <si>
    <t>https://ijglobal.com/data/transaction/27977/enel-wind-brazil-portfolio-342mw</t>
  </si>
  <si>
    <t>https://ijglobal.com/data/transaction/27999/kiwano-solar-thermal-plant-100mw</t>
  </si>
  <si>
    <t>https://ijglobal.com/data/transaction/28028/northern-cape-wind-farms-360mw</t>
  </si>
  <si>
    <t>https://ijglobal.com/data/transaction/28037/seigneurie-de-beaupre-wind-farm-financing-phase-2-68mw</t>
  </si>
  <si>
    <t>https://ijglobal.com/data/transaction/28067/jelinak-wind-farm-financing-30mw</t>
  </si>
  <si>
    <t>https://ijglobal.com/data/transaction/28101/san-andres-solar-pv-plant-507mw</t>
  </si>
  <si>
    <t>https://ijglobal.com/data/transaction/28103/la-bufa-wind-farm-130mw</t>
  </si>
  <si>
    <t>https://ijglobal.com/data/transaction/28105/ice-costa-rica-geothermal-portfolio-155mw</t>
  </si>
  <si>
    <t>https://ijglobal.com/data/transaction/28128/noor-ii-concentrated-solar-power-csp-plant-200mw</t>
  </si>
  <si>
    <t>https://ijglobal.com/data/transaction/28129/noor-iii-concentrated-solar-power-csp-plant-150mw</t>
  </si>
  <si>
    <t>https://ijglobal.com/data/transaction/28135/penonome-ii-wind-farm-215mw</t>
  </si>
  <si>
    <t>https://ijglobal.com/data/transaction/28137/tafila-wind-farm-financing-117mw</t>
  </si>
  <si>
    <t>https://ijglobal.com/data/transaction/28178/gemini-offshore-wind-farm-600mw</t>
  </si>
  <si>
    <t>https://ijglobal.com/data/transaction/28190/palowo-wind-farm-phase-1-financing-795mw</t>
  </si>
  <si>
    <t>https://ijglobal.com/data/transaction/28346/tallentire-hill-and-10mw-meikle-carewe-wind-farm-financing-12mw</t>
  </si>
  <si>
    <t>https://ijglobal.com/data/transaction/28351/kakamas-hydroelectric-power-plant-1257mw</t>
  </si>
  <si>
    <t>https://ijglobal.com/data/transaction/28368/talas-de-maciel-i-wind-farm-50mw</t>
  </si>
  <si>
    <t>https://ijglobal.com/data/transaction/28452/orla-wind-farm-phase-1-225mw</t>
  </si>
  <si>
    <t>https://ijglobal.com/data/transaction/28471/nop-agrowind-farm-195mw</t>
  </si>
  <si>
    <t>https://ijglobal.com/data/transaction/28551/agahozo-shalom-youth-pv-solar-plant-85mw</t>
  </si>
  <si>
    <t>https://ijglobal.com/data/transaction/28561/sainshand-wind-farm-55mw</t>
  </si>
  <si>
    <t>https://ijglobal.com/data/transaction/28689/crucea-north-wind-farm-108mw</t>
  </si>
  <si>
    <t>https://ijglobal.com/data/transaction/28704/pampa-wind-farm-uruguay-1416mw</t>
  </si>
  <si>
    <t>https://ijglobal.com/data/transaction/28728/morocco-onee-wind-power-programme-850mw</t>
  </si>
  <si>
    <t>https://ijglobal.com/data/transaction/28945/pepsa-wind-farms-portfolio-1035mw</t>
  </si>
  <si>
    <t>https://ijglobal.com/data/transaction/29173/shams-maan-solar-pv-plant-525mw</t>
  </si>
  <si>
    <t>https://ijglobal.com/data/transaction/30112/temiscouata-i-wind-park-235mw</t>
  </si>
  <si>
    <t>https://ijglobal.com/data/transaction/30219/fortel-bonnieres-and-saint-fran-ois-wind-financing-456mw</t>
  </si>
  <si>
    <t>https://ijglobal.com/data/transaction/30340/xina-solar-one-ppp-100mw</t>
  </si>
  <si>
    <t>https://ijglobal.com/data/transaction/30476/luz-del-norte-solar-pv-plant-141mw</t>
  </si>
  <si>
    <t>https://ijglobal.com/data/transaction/30480/tres-mesas-wind-farm-1485mw</t>
  </si>
  <si>
    <t>https://ijglobal.com/data/transaction/30481/yereimentau-wind-plant-50mw</t>
  </si>
  <si>
    <t>https://ijglobal.com/data/transaction/30732/topolog-dorobantu-wind-farm-84mw</t>
  </si>
  <si>
    <t>https://ijglobal.com/data/transaction/30839/temiscouata-ii-wind-farm-50mw</t>
  </si>
  <si>
    <t>https://ijglobal.com/data/transaction/30851/malvern-wind-farm-363mw</t>
  </si>
  <si>
    <t>https://ijglobal.com/data/transaction/30921/edpr-solar-pv-portfolio-50mw</t>
  </si>
  <si>
    <t>https://ijglobal.com/data/transaction/30939/shamsuna-solar-pv-plant-10mw</t>
  </si>
  <si>
    <t>https://ijglobal.com/data/transaction/30940/falcon-solar-pv-plant-21mw</t>
  </si>
  <si>
    <t>https://ijglobal.com/data/transaction/30941/arabia-one-solar-pv-plant-10mw</t>
  </si>
  <si>
    <t>https://ijglobal.com/data/transaction/30942/adenium-energy-capital-solar-pv-portfolio-30mw</t>
  </si>
  <si>
    <t>https://ijglobal.com/data/transaction/30984/zina-solar-pv-plant-268mw</t>
  </si>
  <si>
    <t>https://ijglobal.com/data/transaction/31018/tauron-distribution-network-upgrade-2014</t>
  </si>
  <si>
    <t>https://ijglobal.com/data/transaction/31059/jordan-solar-one-pv-plant-20mw</t>
  </si>
  <si>
    <t>https://ijglobal.com/data/transaction/31125/sandbank-offshore-wind-project-288mw</t>
  </si>
  <si>
    <t>https://ijglobal.com/data/transaction/31136/oryx-solar-pv-plant-10mw</t>
  </si>
  <si>
    <t>https://ijglobal.com/data/transaction/31137/green-land-solar-pv-plant-10mw</t>
  </si>
  <si>
    <t>https://ijglobal.com/data/transaction/31138/kabeli-a-hydroelectric-project-ipp-376mw</t>
  </si>
  <si>
    <t>https://ijglobal.com/data/transaction/31139/ejre-solar-pv-plant-20mw</t>
  </si>
  <si>
    <t>https://ijglobal.com/data/transaction/31173/gibson-bay-wind-farm-111mw</t>
  </si>
  <si>
    <t>https://ijglobal.com/data/transaction/31176/enbw-baltic-2-wind-farm-288mw</t>
  </si>
  <si>
    <t>https://ijglobal.com/data/transaction/31178/enbw-baltic-2-wind-farm-additional-facility-288mw</t>
  </si>
  <si>
    <t>https://ijglobal.com/data/transaction/31205/pacifico-solar-programme-817mw</t>
  </si>
  <si>
    <t>https://ijglobal.com/data/transaction/31323/de-aar-phase-ii-north-wind-power-13896mw</t>
  </si>
  <si>
    <t>https://ijglobal.com/data/transaction/31325/de-aar-phase-i-north-wind-power-9648mw</t>
  </si>
  <si>
    <t>https://ijglobal.com/data/transaction/31364/los-molinos-hydro-power-plants-398mw</t>
  </si>
  <si>
    <t>https://ijglobal.com/data/transaction/31751/ouagadougou-solar-pv-plant-30mw</t>
  </si>
  <si>
    <t>https://ijglobal.com/data/transaction/31763/rudine-wind-power-plant-342mw</t>
  </si>
  <si>
    <t>https://ijglobal.com/data/transaction/31794/valle-solar-pv-plant-70mw</t>
  </si>
  <si>
    <t>https://ijglobal.com/data/transaction/31795/galloper-offshore-wind-farm-336mw</t>
  </si>
  <si>
    <t>https://ijglobal.com/data/transaction/31894/sunedison-jordan-solar-pv-plant-238mw</t>
  </si>
  <si>
    <t>https://ijglobal.com/data/transaction/31939/belle-river-wind-farm-100mw</t>
  </si>
  <si>
    <t>https://ijglobal.com/data/transaction/31950/delingha-concentrating-solar-power-park-50mw</t>
  </si>
  <si>
    <t>https://ijglobal.com/data/transaction/31981/nordergruende-offshore-wind-farm-111mw</t>
  </si>
  <si>
    <t>https://ijglobal.com/data/transaction/32026/marcona-wind-farm-321mw</t>
  </si>
  <si>
    <t>https://ijglobal.com/data/transaction/32092/la-coste-solar-farm-portfolio-576mw</t>
  </si>
  <si>
    <t>https://ijglobal.com/data/transaction/32094/kipeto-wind-farm-100mw</t>
  </si>
  <si>
    <t>https://ijglobal.com/data/transaction/32297/lower-solu-hydropower-ipp-82mw</t>
  </si>
  <si>
    <t>https://ijglobal.com/data/transaction/32332/bord-gais-wind-farm-portfolio-acquistion-2014</t>
  </si>
  <si>
    <t>https://ijglobal.com/data/transaction/32394/mycielin-wind-farm-48mw</t>
  </si>
  <si>
    <t>https://ijglobal.com/data/transaction/32424/widnes-biomass-plant-202mw</t>
  </si>
  <si>
    <t>https://ijglobal.com/data/transaction/32469/aura-ii-solar-pv-plant-61mw</t>
  </si>
  <si>
    <t>https://ijglobal.com/data/transaction/32493/nordsee-one-offshore-wind-farm-332mw</t>
  </si>
  <si>
    <t>https://ijglobal.com/data/transaction/32670/soroti-solar-power-plant-10mw</t>
  </si>
  <si>
    <t>https://ijglobal.com/data/transaction/32672/tororo-solar-pv-power-plant-10mw</t>
  </si>
  <si>
    <t>https://ijglobal.com/data/transaction/32729/redstone-csp-plant-100mw</t>
  </si>
  <si>
    <t>https://ijglobal.com/data/transaction/32730/kathu-csp-power-plant-100mw</t>
  </si>
  <si>
    <t>https://ijglobal.com/data/transaction/32811/dolovo-wind-farm-158mw</t>
  </si>
  <si>
    <t>https://ijglobal.com/data/transaction/32820/mecanismos-de-energia-renovable-mecer-solar-pv-plant-25mw</t>
  </si>
  <si>
    <t>https://ijglobal.com/data/transaction/32842/megalim-solar-thermal-plant-121mw</t>
  </si>
  <si>
    <t>https://ijglobal.com/data/transaction/33058/krnovo-wind-farm-72mw</t>
  </si>
  <si>
    <t>https://ijglobal.com/data/transaction/33083/san-juan-wind-farm-185mw</t>
  </si>
  <si>
    <t>https://ijglobal.com/data/transaction/33114/skurpie-wind-farm-phase-ii-financing-2014-368mw</t>
  </si>
  <si>
    <t>https://ijglobal.com/data/transaction/33332/jordan-one-solar-pv-plant-664mw-ppp</t>
  </si>
  <si>
    <t>https://ijglobal.com/data/transaction/33392/aguas-el-carmen-hydro-power-project-85mw</t>
  </si>
  <si>
    <t>https://ijglobal.com/data/transaction/33576/tilbury-biomass-plant-40mw</t>
  </si>
  <si>
    <t>https://ijglobal.com/data/transaction/33581/gori-wind-farm-207mw</t>
  </si>
  <si>
    <t>https://ijglobal.com/data/transaction/33583/los-santos-i-solar-pv-plant-14mw</t>
  </si>
  <si>
    <t>https://ijglobal.com/data/transaction/33613/noor-pv-i-solar-trio-177mw-ppp</t>
  </si>
  <si>
    <t>https://ijglobal.com/data/transaction/33641/starsol-solar-pv-plant-40mw</t>
  </si>
  <si>
    <t>https://ijglobal.com/data/transaction/33662/hayabusa-wind-farm-portfolio-financing-2015-696mw</t>
  </si>
  <si>
    <t>https://ijglobal.com/data/transaction/33669/ilangalethu-1-csp-power-plant-100mw</t>
  </si>
  <si>
    <t>https://ijglobal.com/data/transaction/33723/mohammed-bin-rashid-al-maktoum-solar-pv-phase-iii-800mw-ppp</t>
  </si>
  <si>
    <t>https://ijglobal.com/data/transaction/33825/silute-wind-farm-60mw</t>
  </si>
  <si>
    <t>https://ijglobal.com/data/transaction/34017/atacama-1-solar-complex-210mw</t>
  </si>
  <si>
    <t>https://ijglobal.com/data/transaction/34054/imavere-and-38mw-osula-biomass-chp-plants-38mw</t>
  </si>
  <si>
    <t>https://ijglobal.com/data/transaction/34094/burnoye-solar</t>
  </si>
  <si>
    <t>https://ijglobal.com/data/transaction/34346/tees-chp-biomass-plant-299mw</t>
  </si>
  <si>
    <t>https://ijglobal.com/data/transaction/34353/sky-solars-uruguay-pv-portfolio-699mw</t>
  </si>
  <si>
    <t>https://ijglobal.com/data/transaction/34355/scatec-segou-solar-pv-plant-33mw</t>
  </si>
  <si>
    <t>https://ijglobal.com/data/transaction/34377/portugal-floating-offshore-wind-25mw</t>
  </si>
  <si>
    <t>https://ijglobal.com/data/transaction/34437/tsetsii-wind-farm-50mw</t>
  </si>
  <si>
    <t>https://ijglobal.com/data/transaction/34521/melfi-alfa-wind-farm-288mw</t>
  </si>
  <si>
    <t>https://ijglobal.com/data/transaction/34664/khalladi-wind-farm-120mw</t>
  </si>
  <si>
    <t>https://ijglobal.com/data/transaction/34823/los-loros-solar-pv-plant-54mw</t>
  </si>
  <si>
    <t>https://ijglobal.com/data/transaction/34887/horus-solar-pv-plant-93mw</t>
  </si>
  <si>
    <t>https://ijglobal.com/data/transaction/34925/banie-wind-farm-106mw</t>
  </si>
  <si>
    <t>https://ijglobal.com/data/transaction/35032/meru-wind-farm-phase-1-100mw</t>
  </si>
  <si>
    <t>https://ijglobal.com/data/transaction/35033/bogoria-silali-geothermal-power-plant-800mw-additional-facility</t>
  </si>
  <si>
    <t>https://ijglobal.com/data/transaction/35043/theistareykir-geothermal-plant-90mw</t>
  </si>
  <si>
    <t>https://ijglobal.com/data/transaction/35250/providencia-solar-pv-plant-100mw</t>
  </si>
  <si>
    <t>https://ijglobal.com/data/transaction/35269/windsor-pv-solar-farm-50mw</t>
  </si>
  <si>
    <t>https://ijglobal.com/data/transaction/35310/alisios-wind-farms-80mw</t>
  </si>
  <si>
    <t>https://ijglobal.com/data/transaction/35443/siti-small-hydro-power-plant-5mw</t>
  </si>
  <si>
    <t>https://ijglobal.com/data/transaction/35452/nyamwamba-92mw-and-mpanga-18mw-small-hydro-power-plants</t>
  </si>
  <si>
    <t>https://ijglobal.com/data/transaction/35555/masdar-jordan-solar-pv-plant-200mw</t>
  </si>
  <si>
    <t>https://ijglobal.com/data/transaction/35562/mocuba-solar-pv-plant-405mw</t>
  </si>
  <si>
    <t>https://ijglobal.com/data/transaction/35612/southgate-pv-solar-farm-50mw</t>
  </si>
  <si>
    <t>https://ijglobal.com/data/transaction/35614/banie-wind-farm-phase-2-56mw</t>
  </si>
  <si>
    <t>https://ijglobal.com/data/transaction/35666/oruro-solar-pv-plant-50mw</t>
  </si>
  <si>
    <t>https://ijglobal.com/data/transaction/35688/rentel-offshore-wind-farm-309mw</t>
  </si>
  <si>
    <t>https://ijglobal.com/data/transaction/35715/hornsdale-wind-farm-phase-2-100mw</t>
  </si>
  <si>
    <t>https://ijglobal.com/data/transaction/35843/project-skywalker-onshore-wind-farm-1gw-40-investment-facility</t>
  </si>
  <si>
    <t>https://ijglobal.com/data/transaction/35855/al-rajef-wind-farm-82mw</t>
  </si>
  <si>
    <t>https://ijglobal.com/data/transaction/35940/daehan-wind-farm-50mw</t>
  </si>
  <si>
    <t>https://ijglobal.com/data/transaction/35963/sharm-el-sheikh-solar-pv-plant-40mw</t>
  </si>
  <si>
    <t>https://ijglobal.com/data/transaction/35979/aela-energia-chilean-wind-portfolio-299mw</t>
  </si>
  <si>
    <t>https://ijglobal.com/data/transaction/35988/lubilia-small-hydro-power-plant-54mw</t>
  </si>
  <si>
    <t>https://ijglobal.com/data/transaction/36031/west-nile-csp-plant-100mw</t>
  </si>
  <si>
    <t>https://ijglobal.com/data/transaction/36032/cemex-ifc-facility</t>
  </si>
  <si>
    <t>https://ijglobal.com/data/transaction/36038/delta-solar-pv-plant-50mw</t>
  </si>
  <si>
    <t>https://ijglobal.com/data/transaction/36046/gestamp-solar-pv-plant-50mw</t>
  </si>
  <si>
    <t>https://ijglobal.com/data/transaction/36047/taqa-arabia-solar-pv-plant-50mw</t>
  </si>
  <si>
    <t>https://ijglobal.com/data/transaction/36048/taqa-solar-reserve-solar-pv-plant-50mw</t>
  </si>
  <si>
    <t>https://ijglobal.com/data/transaction/36049/benban-1-solar-pv-plant-50mw</t>
  </si>
  <si>
    <t>https://ijglobal.com/data/transaction/36059/alcazar-energy-solar-1-pv-plant-50mw</t>
  </si>
  <si>
    <t>https://ijglobal.com/data/transaction/36061/alcom-energy-solar-pv-plant-50mw</t>
  </si>
  <si>
    <t>https://ijglobal.com/data/transaction/36062/mafraq-solar-pv-plant-603mw</t>
  </si>
  <si>
    <t>https://ijglobal.com/data/transaction/36069/cerradinho-bioenergia-biomass-capacity-expansion</t>
  </si>
  <si>
    <t>https://ijglobal.com/data/transaction/36100/empire-solar-pv-plant-67mw-ppp</t>
  </si>
  <si>
    <t>https://ijglobal.com/data/transaction/36115/cerro-pabellon-geothermal-power-plant-48mw</t>
  </si>
  <si>
    <t>https://ijglobal.com/data/transaction/36256/white-rock-wind-farm-stage-1-175mw</t>
  </si>
  <si>
    <t>https://ijglobal.com/data/transaction/36300/solar-panama-101mw-and-solar-azuero-112mw-power-plants</t>
  </si>
  <si>
    <t>https://ijglobal.com/data/transaction/36396/pan-african-solar-pv-plant-75mw</t>
  </si>
  <si>
    <t>https://ijglobal.com/data/transaction/36403/el-pelicano-solar-pv-power-plant-100mw</t>
  </si>
  <si>
    <t>https://ijglobal.com/data/transaction/36444/kenya-wind-and-solar-pv-portfolio-102mw</t>
  </si>
  <si>
    <t>https://ijglobal.com/data/transaction/36497/cerradinhobio-ifc-facility</t>
  </si>
  <si>
    <t>https://ijglobal.com/data/transaction/36519/kulan-pv-solar-farm-29mw</t>
  </si>
  <si>
    <t>https://ijglobal.com/data/transaction/36531/negros-occidental-biomass-power-plants-70mw</t>
  </si>
  <si>
    <t>https://ijglobal.com/data/transaction/36620/natelu-95mw-and-yarnel-95mw-solar-pv-plants</t>
  </si>
  <si>
    <t>https://ijglobal.com/data/transaction/36705/paris-98mw-and-los-angeles-98mw-solar-pv-plants</t>
  </si>
  <si>
    <t>https://ijglobal.com/data/transaction/36794/chitose-solar-pv-power-plant-388mw</t>
  </si>
  <si>
    <t>https://ijglobal.com/data/transaction/36903/norther-offshore-wind-farm-370mw</t>
  </si>
  <si>
    <t>https://ijglobal.com/data/transaction/36972/gulshat-pv-solar-plant-48mw</t>
  </si>
  <si>
    <t>https://ijglobal.com/data/transaction/36984/terna-energy-additional-facility-2016</t>
  </si>
  <si>
    <t>https://ijglobal.com/data/transaction/36987/noor-midelt-csp-pv-complex-800mw</t>
  </si>
  <si>
    <t>https://ijglobal.com/data/transaction/36993/noor-talifalet-solar-pv-trio-120mw</t>
  </si>
  <si>
    <t>https://ijglobal.com/data/transaction/37052/ktda-run-of-river-hydro-power-plants-16mw</t>
  </si>
  <si>
    <t>https://ijglobal.com/data/transaction/37121/ten-merina-solar-pv-plant-30mw</t>
  </si>
  <si>
    <t>https://ijglobal.com/data/transaction/37132/low-marnham-biomass-chp-plant-42mw</t>
  </si>
  <si>
    <t>https://ijglobal.com/data/transaction/37234/seegronan-and-crockandun-wind-farms-291mw</t>
  </si>
  <si>
    <t>https://ijglobal.com/data/transaction/37346/hawa-wind-farm-50mw-ppp</t>
  </si>
  <si>
    <t>https://ijglobal.com/data/transaction/37462/renew-power-portfolio-financing</t>
  </si>
  <si>
    <t>https://ijglobal.com/data/transaction/37463/lusaka-solar-pv-plant-55mw</t>
  </si>
  <si>
    <t>https://ijglobal.com/data/transaction/37508/tafila-wind-farm-495-mw</t>
  </si>
  <si>
    <t>https://ijglobal.com/data/transaction/37748/solem-solar-pv-complex-290mw</t>
  </si>
  <si>
    <t>https://ijglobal.com/data/transaction/37880/laguna-colorada-geothermal-power-plant-second-stage-100mw</t>
  </si>
  <si>
    <t>https://ijglobal.com/data/transaction/31931</t>
  </si>
  <si>
    <t>Coalmining machinery: expansion of a longwall mining system for the Narrabri mine</t>
  </si>
  <si>
    <t>Equipment for coal mining: Extension of Strebbausystems for Narrabri mine</t>
  </si>
  <si>
    <t>https://ijglobal.com/articles/106736/ttlc-to-invest-in-coal-power-plants-in-myanmar</t>
  </si>
  <si>
    <t>https://ijglobal.com/articles/106784/vietnam-vung-ang-2-coal-fired-plant-to-ink-ppa</t>
  </si>
  <si>
    <t>https://ijglobal.com/articles/105868/jbic-and-nexi-back-part-of-vinh-tanh-3</t>
  </si>
  <si>
    <t xml:space="preserve">1,980MW Vinh Tan 3 coal-fired power plant  is expected to close by the third quarter of 2017, IJGlobal will essentially be export-credit agency financed with Sinosure and China Development Bank acting as the cornerstone lenders. </t>
  </si>
  <si>
    <t>China Communications Construction Company</t>
  </si>
  <si>
    <t>Gwadar Coal Power Project (300 MW)</t>
  </si>
  <si>
    <t>https://ijglobal.com/articles/106598/chinese-firm-wins-gwadar-coal-plant</t>
  </si>
  <si>
    <t>https://ijglobal.com/articles/105988/cirebon-2-consortium-expects-quick-appeal-on-revoked-permit</t>
  </si>
  <si>
    <t>The $1.6 billion proceeds will be used for the construction and exploitation of the Maitree coal-fired power plant, located in Rampal Upazila of Bagerhat District, in Khulna, in south-western Bangladesh.  The plant will have two 660 MW coal-fired units, situated on an area of over 1834 acres of land. IJGlobal has not listed this project as having reached a financial close [6/26/2017]</t>
  </si>
  <si>
    <t>https://ijglobal.com/articles/106946/financing-takes-shape-for-mexican-solar-pv</t>
  </si>
  <si>
    <t>Financial close is expected as early as July-end 2017</t>
  </si>
  <si>
    <t>Aguascalientes</t>
  </si>
  <si>
    <t>Cubico Sustainable Investments, Alten Energías Renovables</t>
  </si>
  <si>
    <t>Al Safawi Solar PV Plant (51MW)</t>
  </si>
  <si>
    <t>https://ijglobal.com/articles/106841/ebrd-to-back-frvs-newly-acquired-jordan-solar</t>
  </si>
  <si>
    <t>Fotowatio Renewable Ventures, Arabia Trading &amp; Consulting Company</t>
  </si>
  <si>
    <t>The special purpose vehicle is 70% owned by Abdul Latif Jameel Group (ALJ), through its holding of Fotowatio Renewable Ventures (FRV), and 30% owned by Arabia Trading &amp; Consulting Company.</t>
  </si>
  <si>
    <t>Arinna Benban Solar PV Plant (25MW)</t>
  </si>
  <si>
    <t>Desert Technologies</t>
  </si>
  <si>
    <t>https://ijglobal.com/articles/106828/ifc-to-back-five-in-egypt-solar-fit-ii</t>
  </si>
  <si>
    <t>Benban</t>
  </si>
  <si>
    <t>The plant will be developed by a consortium of  Al Bilal Group for General Contracts (51%), Tech Project Development Group (9%), SECI/Enerray (25%), and Desert Technologies (15%). The sponsor will own the special purpose vehicle- Arinna Solar Power. The plant is expected to cost USD48 million. The IFC is considering providing an A loan of up to USD12 million and syndicating a further USD26.4 million. The balance will be equity.</t>
  </si>
  <si>
    <t>https://ijglobal.com/data/transaction/38219/arinna-benban-solar-pv-plant-25mw</t>
  </si>
  <si>
    <t>Arinna Solar Power (Albilal Group for General Contracts, Texas Constructors International, Croton Harmon, Maccaferri Industrial Group, Desert Technologies)</t>
  </si>
  <si>
    <t>https://ijglobal.com/data/transaction/38214/acciona-benban-solar-pv-portfolio-100mw</t>
  </si>
  <si>
    <t>Acciona Energia Global and Enara Bahrain</t>
  </si>
  <si>
    <t>The financing will be used for the construction and development of two photovoltaic solar plants under development by a joint venture of Acciona Energia Global (38%) and Enara Bahrain (38%) – the investment vehicle of Swicorp, KCC Corporation and the Shoaibi Group – and TBEA Xinjiang SunOasisCo (24%). The plants will be located in the Benban 1.8GW PV solar park situated 12 km west of Benban, and 15 km west of the Nile River, in the Aswan Governorate of Upper Egypt.</t>
  </si>
  <si>
    <t>Acciona Benban 3 Solar PV Plant (50MW)</t>
  </si>
  <si>
    <t>Safawi</t>
  </si>
  <si>
    <t>Acwa Power</t>
  </si>
  <si>
    <t>Acwa Power Benban II Solar PV Plant (20MW)</t>
  </si>
  <si>
    <t>Acwa Power Benban I Solar PV Plant (50MW)</t>
  </si>
  <si>
    <t>https://ijglobal.com/articles/106163/ebrd-considers-16-in-egypt-solar-fit-ii</t>
  </si>
  <si>
    <t>https://ijglobal.com/data/transaction/38186/acwa-power-benban-solar-pv-portfolio-120mw</t>
  </si>
  <si>
    <t>Acwa Power Benban III Solar PV Plant (50MW)</t>
  </si>
  <si>
    <t>United Green, Samruk-Kazyna</t>
  </si>
  <si>
    <t>https://ijglobal.com/articles/96680/ebrd-and-ctf-sign-kazakh-solar-financing</t>
  </si>
  <si>
    <t>Burnoye PV Solar Farm Phase 1 (50MW)</t>
  </si>
  <si>
    <t>Burnoye PV Solar Farm Phase 2 (50MW)</t>
  </si>
  <si>
    <t>https://ijglobal.com/data/transaction/38227/burnoye-pv-solar-farm-phase-2-50mw#coverage</t>
  </si>
  <si>
    <t>Acciona  Acciona Benban 2 Solar PV Plant (50MW)</t>
  </si>
  <si>
    <t>Seih Al-Dilal</t>
  </si>
  <si>
    <t>https://ijglobal.com/articles/106791/debt-terms-revealed-as-masdar-edf-close-on-dubai-pv</t>
  </si>
  <si>
    <t>IJGlobal article indicates prospective JBIC and NEXI participation.
$800m total project cost; Morupule B Phase II Units 5 &amp; 6; subcritical. "BPC plans to expand its 600MW Morupule B power station by another 300MW, but the project has been staled by a dispute over an $800 million guarantee between the contractors and government. Energy minister, Sadique Kebonang recently told BusinessWeek that granting the guarantee would need Parliament approval. Botswana’s Parliament is currently in recess and will sit in July." http://www.mmegi.bw/index.php?aid=69414&amp;dir=2017/june/09</t>
  </si>
  <si>
    <t>http://www.sourcewatch.org/index.php/Mejillones_power_station</t>
  </si>
  <si>
    <t>North Kent Wind I Wind Farm (100MW)</t>
  </si>
  <si>
    <t>https://ijglobal.com/data/transaction/38166/north-kent-wind-i-wind-farm-100mw</t>
  </si>
  <si>
    <t>Pattern Energy, Samsung, and Entegrus</t>
  </si>
  <si>
    <t>https://ijglobal.com/articles/105945/nam-dinh-1-coal-fired-ppa-to-sign-in-june</t>
  </si>
  <si>
    <t>https://ijglobal.com/articles/105890/nghi-son-2-vietnam-coal-fired-set-to-sign-ppa</t>
  </si>
  <si>
    <t>https://www.google.com.tw/url?sa=t&amp;rct=j&amp;q=&amp;esrc=s&amp;source=web&amp;cd=6&amp;cad=rja&amp;uact=8&amp;ved=0ahUKEwjZ1ayG0OTUAhVL_4MKHdLdDQ0QFgg0MAU&amp;url=http%3A%2F%2Fwww.sourcewatch.org%2Findex.php%2FSanta_Mar%25C3%25ADa_power_station&amp;usg=AFQjCNHFh8svfEDxEoPJJ6UEQqVk-Ouwcw</t>
  </si>
  <si>
    <t>In Spanish: http://www.cooperativa.cl/noticias/pais/energia/generacion-electrica/colbun-decidio-no-ampliar-termoelectrica-santa-maria-de-coronel/2017-06-23/220700.html</t>
  </si>
  <si>
    <t xml:space="preserve">Looks like this project has been canceled? (From this article in spanish): http://www.cooperativa.cl/noticias/pais/energia/generacion-electrica/colbun-decidio-no-ampliar-termoelectrica-santa-maria-de-coronel/2017-06-23/220700.html: </t>
  </si>
  <si>
    <t>SANTA MARIA COLBUN 2 (404MW) [Canceled]?</t>
  </si>
  <si>
    <t>Alibunar Wind Farm (42MW)</t>
  </si>
  <si>
    <t>Elicio NV</t>
  </si>
  <si>
    <t>https://ijglobal.com/data/transaction/38456/alibunar-wind-farm-42mw</t>
  </si>
  <si>
    <t>Matabari</t>
  </si>
  <si>
    <t>https://ijglobal.com/articles/107078/jica-approves-six-bangladesh-loans-outlines-tender-schedule</t>
  </si>
  <si>
    <t>https://www.vietnambreakingnews.com/2017/07/two-new-thermal-power-plants-licensed-4/</t>
  </si>
  <si>
    <t>JICA has already supported this project; JBIC expected to provide $862.5 million according to IJGlobal. PPA set to be signed by the end of June 2017, according to IJGlobal. https://www.vietnambreakingnews.com/2017/07/two-new-thermal-power-plants-licensed-4/</t>
  </si>
  <si>
    <t>Van Phong I (1320MW)</t>
  </si>
  <si>
    <t>JBIC’s potential participation is clear, but amount is unclear. Allocated JBIC $650 million - 25% of $2.6 billion – which is a conservative estimate compared to JBIC’s share of participation in other coal-fired power.  projects. Project is listed as Van Phong 1. Investment certificate set to sign (6/08/17): Japan Bank for International Cooperation is expected to provide around 60% of the debt funding through an overseas loan. The total cost of the project is seen at between $2.5 and $3 billion.https://ijglobal.com/articles/106694/vietnam-van-phong-coal-fired-investment-certificate-set-to-sign</t>
  </si>
  <si>
    <t xml:space="preserve">[Stalled]. This project reached financial close on April 18th, 2017, but then a court revoked the plant permit. https://ijglobal.com/articles/105966/court-revokes-cirebon-2-power-plant-permit-after-financial-close </t>
  </si>
  <si>
    <t>http://www.climatechangenews.com/2017/07/12/china-signed-african-coal-deal-days-xi-low-emissions-pledge-g20/</t>
  </si>
  <si>
    <t>Should this already count as closed?</t>
  </si>
  <si>
    <t>Medupi Coal Fired Power Station (4764 MW)</t>
  </si>
  <si>
    <t>South Africa &amp; Mozambique</t>
  </si>
  <si>
    <t>Coal Power Plant Size (MW) or Share</t>
  </si>
  <si>
    <t xml:space="preserve">Export Credit &amp; Insurance </t>
  </si>
  <si>
    <t>Sum of Coal Power Plant Size (MW) or Share</t>
  </si>
  <si>
    <t>Filter based on Financing Country:</t>
  </si>
  <si>
    <t>Recipient Countries</t>
  </si>
  <si>
    <t>Filter Coal versus Renewables Projects:</t>
  </si>
  <si>
    <t>Filter based on Year of Financial Close:</t>
  </si>
  <si>
    <t>Filter based on Financing Institution:</t>
  </si>
  <si>
    <t>Filter based on Geographic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</si>
</sst>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5" formatCode="_(* #,##0_);_(* \(#,##0\);_(* &quot;-&quot;??_);_(@_)"/>
    <numFmt numFmtId="166" formatCode="&quot;$&quot;#,##0"/>
    <numFmt numFmtId="169" formatCode="[$-40C]General"/>
    <numFmt numFmtId="170" formatCode="[$-407]General"/>
    <numFmt numFmtId="171" formatCode="&quot; &quot;#,##0.00&quot; &quot;;&quot; (&quot;#,##0.00&quot;)&quot;;&quot; -&quot;#&quot; &quot;;&quot; &quot;@&quot; &quot;"/>
    <numFmt numFmtId="172" formatCode="#,##0.00&quot; &quot;;&quot; (&quot;#,##0.00&quot;)&quot;;&quot; -&quot;#&quot; &quot;;@&quot; &quot;"/>
    <numFmt numFmtId="173" formatCode="#,##0.00&quot; &quot;[$€-407];[Red]&quot;-&quot;#,##0.00&quot; &quot;[$€-407]"/>
    <numFmt numFmtId="174" formatCode="#,##0.00&quot; &quot;[$€-40C];[Red]&quot;-&quot;#,##0.00&quot; &quot;[$€-40C]"/>
    <numFmt numFmtId="175" formatCode="m/d/yy;@"/>
  </numFmts>
  <fonts count="47">
    <font>
      <sz val="11"/>
      <color theme="1"/>
      <name val="Calibri"/>
      <family val="2"/>
      <scheme val="minor"/>
    </font>
    <font>
      <sz val="11"/>
      <color theme="1"/>
      <name val="Calibri"/>
      <family val="2"/>
      <scheme val="minor"/>
    </font>
    <font>
      <sz val="10"/>
      <name val="Verdana"/>
      <family val="2"/>
    </font>
    <font>
      <u/>
      <sz val="10"/>
      <color indexed="12"/>
      <name val="Verdana"/>
      <family val="2"/>
    </font>
    <font>
      <u/>
      <sz val="11"/>
      <color theme="10"/>
      <name val="Calibri"/>
      <family val="3"/>
      <charset val="128"/>
      <scheme val="minor"/>
    </font>
    <font>
      <sz val="11"/>
      <name val="Calibri"/>
      <family val="2"/>
      <scheme val="minor"/>
    </font>
    <font>
      <sz val="11"/>
      <color rgb="FFFF0000"/>
      <name val="Calibri"/>
      <family val="2"/>
      <scheme val="minor"/>
    </font>
    <font>
      <u/>
      <sz val="11"/>
      <color theme="10"/>
      <name val="Calibri"/>
      <family val="2"/>
      <scheme val="minor"/>
    </font>
    <font>
      <sz val="10"/>
      <color theme="1"/>
      <name val="Calibri"/>
      <family val="2"/>
      <scheme val="minor"/>
    </font>
    <font>
      <sz val="10"/>
      <color indexed="8"/>
      <name val="Calibri"/>
      <family val="2"/>
    </font>
    <font>
      <sz val="10"/>
      <color theme="0"/>
      <name val="Calibri"/>
      <family val="2"/>
      <scheme val="minor"/>
    </font>
    <font>
      <sz val="10"/>
      <color indexed="9"/>
      <name val="Calibri"/>
      <family val="2"/>
    </font>
    <font>
      <sz val="10"/>
      <color rgb="FF9C0006"/>
      <name val="Calibri"/>
      <family val="2"/>
      <scheme val="minor"/>
    </font>
    <font>
      <sz val="10"/>
      <color rgb="FF9C0006"/>
      <name val="Calibri"/>
      <family val="2"/>
    </font>
    <font>
      <b/>
      <sz val="10"/>
      <color rgb="FFFA7D00"/>
      <name val="Calibri"/>
      <family val="2"/>
      <scheme val="minor"/>
    </font>
    <font>
      <b/>
      <sz val="10"/>
      <color rgb="FFFA7D00"/>
      <name val="Calibri"/>
      <family val="2"/>
    </font>
    <font>
      <b/>
      <sz val="10"/>
      <color theme="0"/>
      <name val="Calibri"/>
      <family val="2"/>
      <scheme val="minor"/>
    </font>
    <font>
      <b/>
      <sz val="10"/>
      <color indexed="9"/>
      <name val="Calibri"/>
      <family val="2"/>
    </font>
    <font>
      <sz val="11"/>
      <color theme="1"/>
      <name val="Calibri"/>
      <family val="3"/>
      <charset val="128"/>
      <scheme val="minor"/>
    </font>
    <font>
      <sz val="11"/>
      <color indexed="8"/>
      <name val="Arial"/>
      <family val="2"/>
    </font>
    <font>
      <sz val="10"/>
      <name val="Arial"/>
      <family val="2"/>
    </font>
    <font>
      <sz val="10"/>
      <color indexed="8"/>
      <name val="Verdana"/>
      <family val="2"/>
    </font>
    <font>
      <i/>
      <sz val="10"/>
      <color rgb="FF7F7F7F"/>
      <name val="Calibri"/>
      <family val="2"/>
      <scheme val="minor"/>
    </font>
    <font>
      <i/>
      <sz val="10"/>
      <color rgb="FF7F7F7F"/>
      <name val="Calibri"/>
      <family val="2"/>
    </font>
    <font>
      <sz val="10"/>
      <color rgb="FF006100"/>
      <name val="Calibri"/>
      <family val="2"/>
      <scheme val="minor"/>
    </font>
    <font>
      <sz val="10"/>
      <color rgb="FF006100"/>
      <name val="Calibri"/>
      <family val="2"/>
    </font>
    <font>
      <b/>
      <i/>
      <sz val="16"/>
      <color indexed="8"/>
      <name val="Arial"/>
      <family val="2"/>
    </font>
    <font>
      <u/>
      <sz val="11"/>
      <color indexed="12"/>
      <name val="Arial"/>
      <family val="2"/>
    </font>
    <font>
      <u/>
      <sz val="8"/>
      <color rgb="FF0000FF"/>
      <name val="Calibri"/>
      <family val="2"/>
      <scheme val="minor"/>
    </font>
    <font>
      <u/>
      <sz val="8"/>
      <color indexed="12"/>
      <name val="Calibri"/>
      <family val="2"/>
    </font>
    <font>
      <u/>
      <sz val="10"/>
      <color indexed="12"/>
      <name val="Arial"/>
      <family val="2"/>
    </font>
    <font>
      <sz val="10"/>
      <color rgb="FF3F3F76"/>
      <name val="Calibri"/>
      <family val="2"/>
      <scheme val="minor"/>
    </font>
    <font>
      <sz val="10"/>
      <color rgb="FF3F3F76"/>
      <name val="Calibri"/>
      <family val="2"/>
    </font>
    <font>
      <sz val="10"/>
      <color rgb="FFFA7D00"/>
      <name val="Calibri"/>
      <family val="2"/>
      <scheme val="minor"/>
    </font>
    <font>
      <sz val="10"/>
      <color rgb="FFFA7D00"/>
      <name val="Calibri"/>
      <family val="2"/>
    </font>
    <font>
      <sz val="10"/>
      <color rgb="FF9C6500"/>
      <name val="Calibri"/>
      <family val="2"/>
      <scheme val="minor"/>
    </font>
    <font>
      <sz val="10"/>
      <color rgb="FF9C6500"/>
      <name val="Calibri"/>
      <family val="2"/>
    </font>
    <font>
      <sz val="10"/>
      <name val="Times New Roman"/>
      <family val="1"/>
    </font>
    <font>
      <b/>
      <sz val="10"/>
      <color rgb="FF3F3F3F"/>
      <name val="Calibri"/>
      <family val="2"/>
      <scheme val="minor"/>
    </font>
    <font>
      <b/>
      <sz val="10"/>
      <color rgb="FF3F3F3F"/>
      <name val="Calibri"/>
      <family val="2"/>
    </font>
    <font>
      <b/>
      <i/>
      <u/>
      <sz val="11"/>
      <color indexed="8"/>
      <name val="Arial"/>
      <family val="2"/>
    </font>
    <font>
      <b/>
      <sz val="10"/>
      <color theme="1"/>
      <name val="Calibri"/>
      <family val="2"/>
      <scheme val="minor"/>
    </font>
    <font>
      <b/>
      <sz val="10"/>
      <color indexed="8"/>
      <name val="Calibri"/>
      <family val="2"/>
    </font>
    <font>
      <sz val="10"/>
      <color rgb="FFFF0000"/>
      <name val="Calibri"/>
      <family val="2"/>
      <scheme val="minor"/>
    </font>
    <font>
      <sz val="10"/>
      <color indexed="10"/>
      <name val="Calibri"/>
      <family val="2"/>
    </font>
    <font>
      <sz val="11"/>
      <color theme="1"/>
      <name val="Calibri"/>
      <scheme val="minor"/>
    </font>
    <font>
      <sz val="11"/>
      <color theme="0"/>
      <name val="Calibri"/>
      <family val="2"/>
      <scheme val="minor"/>
    </font>
  </fonts>
  <fills count="64">
    <fill>
      <patternFill patternType="none"/>
    </fill>
    <fill>
      <patternFill patternType="gray125"/>
    </fill>
    <fill>
      <patternFill patternType="solid">
        <fgColor rgb="FFFFC7CE"/>
      </patternFill>
    </fill>
    <fill>
      <patternFill patternType="solid">
        <fgColor rgb="FFFFEB9C"/>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2"/>
        <bgColor rgb="FFDCE6F2"/>
      </patternFill>
    </fill>
    <fill>
      <patternFill patternType="solid">
        <fgColor rgb="FFF2DCDB"/>
        <bgColor rgb="FFF2DCDB"/>
      </patternFill>
    </fill>
    <fill>
      <patternFill patternType="solid">
        <fgColor rgb="FFEBF1DE"/>
        <bgColor rgb="FFEBF1DE"/>
      </patternFill>
    </fill>
    <fill>
      <patternFill patternType="solid">
        <fgColor rgb="FFE6E0EC"/>
        <bgColor rgb="FFE6E0EC"/>
      </patternFill>
    </fill>
    <fill>
      <patternFill patternType="solid">
        <fgColor rgb="FFDBEEF4"/>
        <bgColor rgb="FFDBEEF4"/>
      </patternFill>
    </fill>
    <fill>
      <patternFill patternType="solid">
        <fgColor rgb="FFFDEADA"/>
        <bgColor rgb="FFFDEADA"/>
      </patternFill>
    </fill>
    <fill>
      <patternFill patternType="solid">
        <fgColor rgb="FFB9CDE5"/>
        <bgColor rgb="FFB9CDE5"/>
      </patternFill>
    </fill>
    <fill>
      <patternFill patternType="solid">
        <fgColor rgb="FFE6B9B8"/>
        <bgColor rgb="FFE6B9B8"/>
      </patternFill>
    </fill>
    <fill>
      <patternFill patternType="solid">
        <fgColor rgb="FFD7E4BD"/>
        <bgColor rgb="FFD7E4BD"/>
      </patternFill>
    </fill>
    <fill>
      <patternFill patternType="solid">
        <fgColor rgb="FFCCC1DA"/>
        <bgColor rgb="FFCCC1DA"/>
      </patternFill>
    </fill>
    <fill>
      <patternFill patternType="solid">
        <fgColor rgb="FFB7DEE8"/>
        <bgColor rgb="FFB7DEE8"/>
      </patternFill>
    </fill>
    <fill>
      <patternFill patternType="solid">
        <fgColor rgb="FFFCD5B5"/>
        <bgColor rgb="FFFCD5B5"/>
      </patternFill>
    </fill>
    <fill>
      <patternFill patternType="solid">
        <fgColor rgb="FF95B3D7"/>
        <bgColor rgb="FF95B3D7"/>
      </patternFill>
    </fill>
    <fill>
      <patternFill patternType="solid">
        <fgColor rgb="FFD99694"/>
        <bgColor rgb="FFD99694"/>
      </patternFill>
    </fill>
    <fill>
      <patternFill patternType="solid">
        <fgColor rgb="FFC3D69B"/>
        <bgColor rgb="FFC3D69B"/>
      </patternFill>
    </fill>
    <fill>
      <patternFill patternType="solid">
        <fgColor rgb="FFB3A2C7"/>
        <bgColor rgb="FFB3A2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4F81BD"/>
      </top>
      <bottom style="double">
        <color rgb="FF4F81BD"/>
      </bottom>
      <diagonal/>
    </border>
  </borders>
  <cellStyleXfs count="149">
    <xf numFmtId="0" fontId="0" fillId="0" borderId="0"/>
    <xf numFmtId="43"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center"/>
    </xf>
    <xf numFmtId="43" fontId="2" fillId="0" borderId="0" applyFont="0" applyFill="0" applyBorder="0" applyAlignment="0" applyProtection="0"/>
    <xf numFmtId="0" fontId="8" fillId="10" borderId="0" applyNumberFormat="0" applyBorder="0" applyAlignment="0" applyProtection="0"/>
    <xf numFmtId="0" fontId="9" fillId="33" borderId="0"/>
    <xf numFmtId="0" fontId="8" fillId="14" borderId="0" applyNumberFormat="0" applyBorder="0" applyAlignment="0" applyProtection="0"/>
    <xf numFmtId="0" fontId="9" fillId="34" borderId="0"/>
    <xf numFmtId="0" fontId="8" fillId="18" borderId="0" applyNumberFormat="0" applyBorder="0" applyAlignment="0" applyProtection="0"/>
    <xf numFmtId="0" fontId="9" fillId="35" borderId="0"/>
    <xf numFmtId="0" fontId="8" fillId="22" borderId="0" applyNumberFormat="0" applyBorder="0" applyAlignment="0" applyProtection="0"/>
    <xf numFmtId="0" fontId="9" fillId="36" borderId="0"/>
    <xf numFmtId="0" fontId="8" fillId="26" borderId="0" applyNumberFormat="0" applyBorder="0" applyAlignment="0" applyProtection="0"/>
    <xf numFmtId="0" fontId="9" fillId="37" borderId="0"/>
    <xf numFmtId="0" fontId="8" fillId="30" borderId="0" applyNumberFormat="0" applyBorder="0" applyAlignment="0" applyProtection="0"/>
    <xf numFmtId="0" fontId="9" fillId="38" borderId="0"/>
    <xf numFmtId="0" fontId="8" fillId="11" borderId="0" applyNumberFormat="0" applyBorder="0" applyAlignment="0" applyProtection="0"/>
    <xf numFmtId="0" fontId="9" fillId="39" borderId="0"/>
    <xf numFmtId="0" fontId="8" fillId="15" borderId="0" applyNumberFormat="0" applyBorder="0" applyAlignment="0" applyProtection="0"/>
    <xf numFmtId="0" fontId="9" fillId="40" borderId="0"/>
    <xf numFmtId="0" fontId="8" fillId="19" borderId="0" applyNumberFormat="0" applyBorder="0" applyAlignment="0" applyProtection="0"/>
    <xf numFmtId="0" fontId="9" fillId="41" borderId="0"/>
    <xf numFmtId="0" fontId="8" fillId="23" borderId="0" applyNumberFormat="0" applyBorder="0" applyAlignment="0" applyProtection="0"/>
    <xf numFmtId="0" fontId="9" fillId="42" borderId="0"/>
    <xf numFmtId="0" fontId="8" fillId="27" borderId="0" applyNumberFormat="0" applyBorder="0" applyAlignment="0" applyProtection="0"/>
    <xf numFmtId="0" fontId="9" fillId="43" borderId="0"/>
    <xf numFmtId="0" fontId="8" fillId="31" borderId="0" applyNumberFormat="0" applyBorder="0" applyAlignment="0" applyProtection="0"/>
    <xf numFmtId="0" fontId="9" fillId="44" borderId="0"/>
    <xf numFmtId="0" fontId="10" fillId="12" borderId="0" applyNumberFormat="0" applyBorder="0" applyAlignment="0" applyProtection="0"/>
    <xf numFmtId="0" fontId="11" fillId="45" borderId="0"/>
    <xf numFmtId="0" fontId="10" fillId="16" borderId="0" applyNumberFormat="0" applyBorder="0" applyAlignment="0" applyProtection="0"/>
    <xf numFmtId="0" fontId="11" fillId="46" borderId="0"/>
    <xf numFmtId="0" fontId="10" fillId="20" borderId="0" applyNumberFormat="0" applyBorder="0" applyAlignment="0" applyProtection="0"/>
    <xf numFmtId="0" fontId="11" fillId="47" borderId="0"/>
    <xf numFmtId="0" fontId="10" fillId="24" borderId="0" applyNumberFormat="0" applyBorder="0" applyAlignment="0" applyProtection="0"/>
    <xf numFmtId="0" fontId="11" fillId="48" borderId="0"/>
    <xf numFmtId="0" fontId="10" fillId="28" borderId="0" applyNumberFormat="0" applyBorder="0" applyAlignment="0" applyProtection="0"/>
    <xf numFmtId="0" fontId="11" fillId="49" borderId="0"/>
    <xf numFmtId="0" fontId="10" fillId="32" borderId="0" applyNumberFormat="0" applyBorder="0" applyAlignment="0" applyProtection="0"/>
    <xf numFmtId="0" fontId="11" fillId="50" borderId="0"/>
    <xf numFmtId="0" fontId="10" fillId="9" borderId="0" applyNumberFormat="0" applyBorder="0" applyAlignment="0" applyProtection="0"/>
    <xf numFmtId="0" fontId="11" fillId="51" borderId="0"/>
    <xf numFmtId="0" fontId="10" fillId="13" borderId="0" applyNumberFormat="0" applyBorder="0" applyAlignment="0" applyProtection="0"/>
    <xf numFmtId="0" fontId="11" fillId="52" borderId="0"/>
    <xf numFmtId="0" fontId="10" fillId="17" borderId="0" applyNumberFormat="0" applyBorder="0" applyAlignment="0" applyProtection="0"/>
    <xf numFmtId="0" fontId="11" fillId="53" borderId="0"/>
    <xf numFmtId="0" fontId="10" fillId="21" borderId="0" applyNumberFormat="0" applyBorder="0" applyAlignment="0" applyProtection="0"/>
    <xf numFmtId="0" fontId="11" fillId="54" borderId="0"/>
    <xf numFmtId="0" fontId="10" fillId="25" borderId="0" applyNumberFormat="0" applyBorder="0" applyAlignment="0" applyProtection="0"/>
    <xf numFmtId="0" fontId="11" fillId="55" borderId="0"/>
    <xf numFmtId="0" fontId="10" fillId="29" borderId="0" applyNumberFormat="0" applyBorder="0" applyAlignment="0" applyProtection="0"/>
    <xf numFmtId="0" fontId="11" fillId="56" borderId="0"/>
    <xf numFmtId="0" fontId="12" fillId="2" borderId="0" applyNumberFormat="0" applyBorder="0" applyAlignment="0" applyProtection="0"/>
    <xf numFmtId="0" fontId="13" fillId="57" borderId="0"/>
    <xf numFmtId="0" fontId="14" fillId="6" borderId="1" applyNumberFormat="0" applyAlignment="0" applyProtection="0"/>
    <xf numFmtId="0" fontId="15" fillId="58" borderId="1"/>
    <xf numFmtId="0" fontId="16" fillId="7" borderId="4" applyNumberFormat="0" applyAlignment="0" applyProtection="0"/>
    <xf numFmtId="0" fontId="17" fillId="59" borderId="4"/>
    <xf numFmtId="38" fontId="18"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2" fontId="21" fillId="0" borderId="0" applyBorder="0" applyProtection="0"/>
    <xf numFmtId="172" fontId="21" fillId="0" borderId="0"/>
    <xf numFmtId="170" fontId="3" fillId="0" borderId="0" applyBorder="0" applyProtection="0"/>
    <xf numFmtId="0" fontId="3" fillId="0" borderId="0"/>
    <xf numFmtId="0" fontId="3" fillId="0" borderId="0"/>
    <xf numFmtId="170" fontId="21" fillId="0" borderId="0" applyBorder="0" applyProtection="0"/>
    <xf numFmtId="0" fontId="21" fillId="0" borderId="0"/>
    <xf numFmtId="0" fontId="22" fillId="0" borderId="0" applyNumberFormat="0" applyFill="0" applyBorder="0" applyAlignment="0" applyProtection="0"/>
    <xf numFmtId="0" fontId="23" fillId="0" borderId="0"/>
    <xf numFmtId="0" fontId="24" fillId="4" borderId="0" applyNumberFormat="0" applyBorder="0" applyAlignment="0" applyProtection="0"/>
    <xf numFmtId="0" fontId="25" fillId="60" borderId="0"/>
    <xf numFmtId="0" fontId="26" fillId="0" borderId="0" applyNumberFormat="0" applyBorder="0" applyProtection="0">
      <alignment horizontal="center"/>
    </xf>
    <xf numFmtId="0" fontId="26" fillId="0" borderId="0">
      <alignment horizontal="center"/>
    </xf>
    <xf numFmtId="0" fontId="26" fillId="0" borderId="0">
      <alignment horizontal="center"/>
    </xf>
    <xf numFmtId="0" fontId="26" fillId="0" borderId="0" applyNumberFormat="0" applyBorder="0" applyProtection="0">
      <alignment horizontal="center" textRotation="90"/>
    </xf>
    <xf numFmtId="0" fontId="26" fillId="0" borderId="0">
      <alignment horizontal="center" textRotation="90"/>
    </xf>
    <xf numFmtId="0" fontId="26" fillId="0" borderId="0">
      <alignment horizontal="center" textRotation="90"/>
    </xf>
    <xf numFmtId="0" fontId="27" fillId="0" borderId="0" applyNumberFormat="0" applyFill="0" applyBorder="0" applyAlignment="0" applyProtection="0"/>
    <xf numFmtId="0" fontId="27" fillId="0" borderId="0"/>
    <xf numFmtId="0" fontId="3" fillId="0" borderId="0"/>
    <xf numFmtId="0" fontId="3" fillId="0" borderId="0" applyNumberFormat="0" applyFill="0" applyBorder="0" applyAlignment="0" applyProtection="0">
      <alignment vertical="top"/>
      <protection locked="0"/>
    </xf>
    <xf numFmtId="0" fontId="28" fillId="0" borderId="0" applyNumberFormat="0" applyFill="0" applyBorder="0" applyAlignment="0" applyProtection="0"/>
    <xf numFmtId="0" fontId="29" fillId="0" borderId="0"/>
    <xf numFmtId="0" fontId="30" fillId="0" borderId="0" applyNumberFormat="0" applyFill="0" applyBorder="0" applyAlignment="0" applyProtection="0"/>
    <xf numFmtId="0" fontId="7" fillId="0" borderId="0" applyNumberFormat="0" applyFill="0" applyBorder="0" applyAlignment="0" applyProtection="0"/>
    <xf numFmtId="0" fontId="31" fillId="5" borderId="1" applyNumberFormat="0" applyAlignment="0" applyProtection="0"/>
    <xf numFmtId="0" fontId="32" fillId="61" borderId="1"/>
    <xf numFmtId="0" fontId="33" fillId="0" borderId="3" applyNumberFormat="0" applyFill="0" applyAlignment="0" applyProtection="0"/>
    <xf numFmtId="0" fontId="34" fillId="0" borderId="3"/>
    <xf numFmtId="0" fontId="35" fillId="3" borderId="0" applyNumberFormat="0" applyBorder="0" applyAlignment="0" applyProtection="0"/>
    <xf numFmtId="0" fontId="36" fillId="62" borderId="0"/>
    <xf numFmtId="0" fontId="19" fillId="0" borderId="0"/>
    <xf numFmtId="0" fontId="20" fillId="0" borderId="0"/>
    <xf numFmtId="0" fontId="1" fillId="0" borderId="0"/>
    <xf numFmtId="0" fontId="1" fillId="0" borderId="0"/>
    <xf numFmtId="0" fontId="1" fillId="0" borderId="0"/>
    <xf numFmtId="0" fontId="1" fillId="0" borderId="0"/>
    <xf numFmtId="169" fontId="19" fillId="0" borderId="0"/>
    <xf numFmtId="0" fontId="1" fillId="0" borderId="0"/>
    <xf numFmtId="0" fontId="1" fillId="0" borderId="0"/>
    <xf numFmtId="0" fontId="1" fillId="0" borderId="0"/>
    <xf numFmtId="0" fontId="1" fillId="0" borderId="0"/>
    <xf numFmtId="169" fontId="21" fillId="0" borderId="0"/>
    <xf numFmtId="0" fontId="8" fillId="0" borderId="0"/>
    <xf numFmtId="169" fontId="9" fillId="0" borderId="0"/>
    <xf numFmtId="0" fontId="20" fillId="0" borderId="0"/>
    <xf numFmtId="0" fontId="19" fillId="0" borderId="0"/>
    <xf numFmtId="0" fontId="18" fillId="0" borderId="0">
      <alignment vertical="center"/>
    </xf>
    <xf numFmtId="0" fontId="37" fillId="0" borderId="0"/>
    <xf numFmtId="0" fontId="8" fillId="8" borderId="5" applyNumberFormat="0" applyFont="0" applyAlignment="0" applyProtection="0"/>
    <xf numFmtId="0" fontId="19" fillId="63" borderId="5"/>
    <xf numFmtId="0" fontId="38" fillId="6" borderId="2" applyNumberFormat="0" applyAlignment="0" applyProtection="0"/>
    <xf numFmtId="0" fontId="39" fillId="58" borderId="2"/>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0" fillId="0" borderId="0" applyNumberFormat="0" applyBorder="0" applyProtection="0"/>
    <xf numFmtId="0" fontId="40" fillId="0" borderId="0"/>
    <xf numFmtId="0" fontId="40" fillId="0" borderId="0"/>
    <xf numFmtId="173" fontId="40" fillId="0" borderId="0" applyBorder="0" applyProtection="0"/>
    <xf numFmtId="173" fontId="40" fillId="0" borderId="0"/>
    <xf numFmtId="174" fontId="40" fillId="0" borderId="0"/>
    <xf numFmtId="0" fontId="41" fillId="0" borderId="6" applyNumberFormat="0" applyFill="0" applyAlignment="0" applyProtection="0"/>
    <xf numFmtId="0" fontId="42" fillId="0" borderId="7"/>
    <xf numFmtId="0" fontId="43" fillId="0" borderId="0" applyNumberFormat="0" applyFill="0" applyBorder="0" applyAlignment="0" applyProtection="0"/>
    <xf numFmtId="0" fontId="44" fillId="0" borderId="0"/>
  </cellStyleXfs>
  <cellXfs count="37">
    <xf numFmtId="0" fontId="0" fillId="0" borderId="0" xfId="0"/>
    <xf numFmtId="0" fontId="0" fillId="0" borderId="0" xfId="0" applyBorder="1"/>
    <xf numFmtId="0" fontId="0" fillId="0" borderId="0" xfId="0"/>
    <xf numFmtId="0" fontId="0" fillId="0" borderId="0" xfId="0" applyAlignment="1">
      <alignment wrapText="1"/>
    </xf>
    <xf numFmtId="0" fontId="0" fillId="0" borderId="0" xfId="0" applyAlignment="1">
      <alignment horizontal="left" indent="1"/>
    </xf>
    <xf numFmtId="0" fontId="0" fillId="0" borderId="0" xfId="0" pivotButton="1" applyAlignment="1">
      <alignment wrapText="1"/>
    </xf>
    <xf numFmtId="165" fontId="0" fillId="0" borderId="0" xfId="1" applyNumberFormat="1" applyFont="1"/>
    <xf numFmtId="0" fontId="5" fillId="0" borderId="0" xfId="0" applyFont="1" applyBorder="1"/>
    <xf numFmtId="0" fontId="5" fillId="0" borderId="0" xfId="0" applyFont="1" applyBorder="1" applyAlignment="1">
      <alignment wrapText="1"/>
    </xf>
    <xf numFmtId="0" fontId="46" fillId="0" borderId="0" xfId="0" applyFont="1" applyFill="1" applyBorder="1" applyAlignment="1">
      <alignment horizontal="center" wrapText="1"/>
    </xf>
    <xf numFmtId="0" fontId="46" fillId="0" borderId="0" xfId="0" applyFont="1" applyFill="1" applyBorder="1" applyAlignment="1">
      <alignment wrapText="1"/>
    </xf>
    <xf numFmtId="0" fontId="46" fillId="0" borderId="0" xfId="0" applyFont="1" applyFill="1" applyBorder="1" applyAlignment="1"/>
    <xf numFmtId="175" fontId="46" fillId="0" borderId="0" xfId="0" applyNumberFormat="1" applyFont="1" applyFill="1" applyBorder="1" applyAlignment="1">
      <alignment wrapText="1"/>
    </xf>
    <xf numFmtId="0" fontId="46" fillId="0" borderId="0" xfId="0" applyFont="1" applyFill="1" applyBorder="1" applyAlignment="1">
      <alignment horizontal="left" wrapText="1"/>
    </xf>
    <xf numFmtId="165" fontId="46" fillId="0" borderId="0" xfId="0" applyNumberFormat="1" applyFont="1" applyFill="1" applyBorder="1" applyAlignment="1">
      <alignment horizontal="center" wrapText="1"/>
    </xf>
    <xf numFmtId="2" fontId="46" fillId="0" borderId="0" xfId="0" applyNumberFormat="1" applyFont="1" applyFill="1" applyBorder="1" applyAlignment="1">
      <alignment horizontal="center" wrapText="1"/>
    </xf>
    <xf numFmtId="0" fontId="5" fillId="0" borderId="0" xfId="0" applyFont="1" applyBorder="1" applyAlignment="1">
      <alignment horizontal="center"/>
    </xf>
    <xf numFmtId="0" fontId="5" fillId="0" borderId="0" xfId="0" applyFont="1" applyBorder="1" applyAlignment="1"/>
    <xf numFmtId="175" fontId="5" fillId="0" borderId="0" xfId="0" applyNumberFormat="1" applyFont="1" applyBorder="1" applyAlignment="1">
      <alignment wrapText="1"/>
    </xf>
    <xf numFmtId="0" fontId="5" fillId="0" borderId="0" xfId="0" applyFont="1" applyBorder="1" applyAlignment="1">
      <alignment horizontal="left"/>
    </xf>
    <xf numFmtId="1" fontId="5" fillId="0" borderId="0" xfId="0" applyNumberFormat="1" applyFont="1" applyBorder="1" applyAlignment="1">
      <alignment horizontal="center"/>
    </xf>
    <xf numFmtId="2" fontId="5" fillId="0" borderId="0" xfId="0" applyNumberFormat="1" applyFont="1" applyBorder="1" applyAlignment="1">
      <alignment horizontal="center"/>
    </xf>
    <xf numFmtId="166" fontId="45" fillId="0" borderId="0" xfId="0" applyNumberFormat="1" applyFont="1" applyFill="1" applyBorder="1" applyAlignment="1">
      <alignment horizontal="center" wrapText="1"/>
    </xf>
    <xf numFmtId="175" fontId="5" fillId="0" borderId="0" xfId="0" applyNumberFormat="1" applyFont="1" applyFill="1" applyBorder="1" applyAlignment="1">
      <alignment horizontal="right"/>
    </xf>
    <xf numFmtId="0" fontId="5" fillId="0" borderId="0" xfId="0" applyFont="1" applyFill="1" applyBorder="1" applyAlignment="1">
      <alignment horizontal="center"/>
    </xf>
    <xf numFmtId="0" fontId="0" fillId="0" borderId="0" xfId="0" applyFill="1" applyBorder="1"/>
    <xf numFmtId="0" fontId="5" fillId="0" borderId="0" xfId="0" applyFont="1" applyFill="1" applyBorder="1" applyAlignment="1">
      <alignment horizontal="left"/>
    </xf>
    <xf numFmtId="0" fontId="6" fillId="0" borderId="0" xfId="0" applyFont="1" applyBorder="1"/>
    <xf numFmtId="14" fontId="0" fillId="0" borderId="0" xfId="0" applyNumberFormat="1"/>
    <xf numFmtId="0" fontId="0" fillId="0" borderId="0" xfId="0" applyAlignment="1">
      <alignment horizontal="left" wrapText="1"/>
    </xf>
    <xf numFmtId="0" fontId="0" fillId="0" borderId="0" xfId="0" applyNumberFormat="1"/>
    <xf numFmtId="14" fontId="46" fillId="0" borderId="0" xfId="0" applyNumberFormat="1" applyFont="1" applyFill="1" applyBorder="1" applyAlignment="1">
      <alignment horizontal="right" wrapText="1"/>
    </xf>
    <xf numFmtId="14" fontId="5" fillId="0" borderId="0" xfId="0" applyNumberFormat="1" applyFont="1" applyBorder="1"/>
    <xf numFmtId="165" fontId="45" fillId="0" borderId="0" xfId="1" applyNumberFormat="1" applyFont="1" applyFill="1" applyBorder="1" applyAlignment="1">
      <alignment horizontal="center" wrapText="1"/>
    </xf>
    <xf numFmtId="165" fontId="5" fillId="0" borderId="0" xfId="1" applyNumberFormat="1" applyFont="1" applyBorder="1" applyAlignment="1">
      <alignment horizontal="left"/>
    </xf>
    <xf numFmtId="14" fontId="5" fillId="0" borderId="0" xfId="0" applyNumberFormat="1" applyFont="1" applyFill="1" applyBorder="1" applyAlignment="1">
      <alignment horizontal="right" wrapText="1"/>
    </xf>
    <xf numFmtId="165" fontId="0" fillId="0" borderId="0" xfId="0" applyNumberFormat="1" applyFont="1" applyFill="1" applyBorder="1" applyAlignment="1">
      <alignment horizontal="center" wrapText="1"/>
    </xf>
  </cellXfs>
  <cellStyles count="149">
    <cellStyle name="20% - Accent1 2" xfId="6"/>
    <cellStyle name="20% - Accent1 2 2" xfId="7"/>
    <cellStyle name="20% - Accent2 2" xfId="8"/>
    <cellStyle name="20% - Accent2 2 2" xfId="9"/>
    <cellStyle name="20% - Accent3 2" xfId="10"/>
    <cellStyle name="20% - Accent3 2 2" xfId="11"/>
    <cellStyle name="20% - Accent4 2" xfId="12"/>
    <cellStyle name="20% - Accent4 2 2" xfId="13"/>
    <cellStyle name="20% - Accent5 2" xfId="14"/>
    <cellStyle name="20% - Accent5 2 2" xfId="15"/>
    <cellStyle name="20% - Accent6 2" xfId="16"/>
    <cellStyle name="20% - Accent6 2 2" xfId="17"/>
    <cellStyle name="40% - Accent1 2" xfId="18"/>
    <cellStyle name="40% - Accent1 2 2" xfId="19"/>
    <cellStyle name="40% - Accent2 2" xfId="20"/>
    <cellStyle name="40% - Accent2 2 2" xfId="21"/>
    <cellStyle name="40% - Accent3 2" xfId="22"/>
    <cellStyle name="40% - Accent3 2 2" xfId="23"/>
    <cellStyle name="40% - Accent4 2" xfId="24"/>
    <cellStyle name="40% - Accent4 2 2" xfId="25"/>
    <cellStyle name="40% - Accent5 2" xfId="26"/>
    <cellStyle name="40% - Accent5 2 2" xfId="27"/>
    <cellStyle name="40% - Accent6 2" xfId="28"/>
    <cellStyle name="40% - Accent6 2 2" xfId="29"/>
    <cellStyle name="60% - Accent1 2" xfId="30"/>
    <cellStyle name="60% - Accent1 2 2" xfId="31"/>
    <cellStyle name="60% - Accent2 2" xfId="32"/>
    <cellStyle name="60% - Accent2 2 2" xfId="33"/>
    <cellStyle name="60% - Accent3 2" xfId="34"/>
    <cellStyle name="60% - Accent3 2 2" xfId="35"/>
    <cellStyle name="60% - Accent4 2" xfId="36"/>
    <cellStyle name="60% - Accent4 2 2" xfId="37"/>
    <cellStyle name="60% - Accent5 2" xfId="38"/>
    <cellStyle name="60% - Accent5 2 2" xfId="39"/>
    <cellStyle name="60% - Accent6 2" xfId="40"/>
    <cellStyle name="60% - Accent6 2 2" xfId="41"/>
    <cellStyle name="Accent1 2" xfId="42"/>
    <cellStyle name="Accent1 2 2" xfId="43"/>
    <cellStyle name="Accent2 2" xfId="44"/>
    <cellStyle name="Accent2 2 2" xfId="45"/>
    <cellStyle name="Accent3 2" xfId="46"/>
    <cellStyle name="Accent3 2 2" xfId="47"/>
    <cellStyle name="Accent4 2" xfId="48"/>
    <cellStyle name="Accent4 2 2" xfId="49"/>
    <cellStyle name="Accent5 2" xfId="50"/>
    <cellStyle name="Accent5 2 2" xfId="51"/>
    <cellStyle name="Accent6 2" xfId="52"/>
    <cellStyle name="Accent6 2 2" xfId="53"/>
    <cellStyle name="Bad 2" xfId="54"/>
    <cellStyle name="Bad 2 2" xfId="55"/>
    <cellStyle name="Calculation 2" xfId="56"/>
    <cellStyle name="Calculation 2 2" xfId="57"/>
    <cellStyle name="Check Cell 2" xfId="58"/>
    <cellStyle name="Check Cell 2 2" xfId="59"/>
    <cellStyle name="Comma" xfId="1" builtinId="3"/>
    <cellStyle name="Comma [0] 2" xfId="60"/>
    <cellStyle name="Comma 2" xfId="5"/>
    <cellStyle name="Comma 2 2" xfId="61"/>
    <cellStyle name="Comma 2 2 2" xfId="62"/>
    <cellStyle name="Comma 2 3" xfId="63"/>
    <cellStyle name="Comma 2 3 2" xfId="64"/>
    <cellStyle name="Comma 2 4" xfId="65"/>
    <cellStyle name="Comma 3" xfId="66"/>
    <cellStyle name="Comma 3 2" xfId="67"/>
    <cellStyle name="Comma 3 2 2" xfId="68"/>
    <cellStyle name="Comma 3 3" xfId="69"/>
    <cellStyle name="Comma 4" xfId="70"/>
    <cellStyle name="Comma 5" xfId="71"/>
    <cellStyle name="Currency 2" xfId="72"/>
    <cellStyle name="Currency 2 2" xfId="73"/>
    <cellStyle name="Currency 2 2 2" xfId="74"/>
    <cellStyle name="Currency 2 3" xfId="75"/>
    <cellStyle name="Currency 3" xfId="76"/>
    <cellStyle name="Excel Built-in Comma" xfId="77"/>
    <cellStyle name="Excel Built-in Comma 2" xfId="78"/>
    <cellStyle name="Excel Built-in Hyperlink" xfId="79"/>
    <cellStyle name="Excel Built-in Hyperlink 1" xfId="80"/>
    <cellStyle name="Excel Built-in Hyperlink 2" xfId="81"/>
    <cellStyle name="Excel Built-in Normal" xfId="82"/>
    <cellStyle name="Excel Built-in Normal 1" xfId="83"/>
    <cellStyle name="Explanatory Text 2" xfId="84"/>
    <cellStyle name="Explanatory Text 2 2" xfId="85"/>
    <cellStyle name="Good 2" xfId="86"/>
    <cellStyle name="Good 2 2" xfId="87"/>
    <cellStyle name="Heading" xfId="88"/>
    <cellStyle name="Heading 1 2" xfId="89"/>
    <cellStyle name="Heading 5" xfId="90"/>
    <cellStyle name="Heading1" xfId="91"/>
    <cellStyle name="Heading1 1" xfId="92"/>
    <cellStyle name="Heading1 2" xfId="93"/>
    <cellStyle name="Hyperlink 2" xfId="94"/>
    <cellStyle name="Hyperlink 2 2" xfId="95"/>
    <cellStyle name="Hyperlink 3" xfId="3"/>
    <cellStyle name="Hyperlink 3 2" xfId="96"/>
    <cellStyle name="Hyperlink 3 3" xfId="97"/>
    <cellStyle name="Hyperlink 4" xfId="98"/>
    <cellStyle name="Hyperlink 4 2" xfId="99"/>
    <cellStyle name="Hyperlink 5" xfId="100"/>
    <cellStyle name="Hyperlink 6" xfId="4"/>
    <cellStyle name="Hyperlink 7" xfId="101"/>
    <cellStyle name="Input 2" xfId="102"/>
    <cellStyle name="Input 2 2" xfId="103"/>
    <cellStyle name="Linked Cell 2" xfId="104"/>
    <cellStyle name="Linked Cell 2 2" xfId="105"/>
    <cellStyle name="Neutral 2" xfId="106"/>
    <cellStyle name="Neutral 2 2" xfId="107"/>
    <cellStyle name="Normal" xfId="0" builtinId="0"/>
    <cellStyle name="Normal 2" xfId="108"/>
    <cellStyle name="Normal 2 2" xfId="109"/>
    <cellStyle name="Normal 2 3" xfId="110"/>
    <cellStyle name="Normal 2 3 2" xfId="111"/>
    <cellStyle name="Normal 2 4" xfId="112"/>
    <cellStyle name="Normal 2 4 2" xfId="113"/>
    <cellStyle name="Normal 2 5" xfId="114"/>
    <cellStyle name="Normal 3" xfId="2"/>
    <cellStyle name="Normal 3 2" xfId="115"/>
    <cellStyle name="Normal 3 2 2" xfId="116"/>
    <cellStyle name="Normal 3 3" xfId="117"/>
    <cellStyle name="Normal 3 3 2" xfId="118"/>
    <cellStyle name="Normal 3 4" xfId="119"/>
    <cellStyle name="Normal 4" xfId="120"/>
    <cellStyle name="Normal 4 2" xfId="121"/>
    <cellStyle name="Normal 5" xfId="122"/>
    <cellStyle name="Normal 6" xfId="123"/>
    <cellStyle name="Normal 7" xfId="124"/>
    <cellStyle name="Normal 9" xfId="125"/>
    <cellStyle name="Note 2" xfId="126"/>
    <cellStyle name="Note 2 2" xfId="127"/>
    <cellStyle name="Output 2" xfId="128"/>
    <cellStyle name="Output 2 2" xfId="129"/>
    <cellStyle name="Percent 2" xfId="130"/>
    <cellStyle name="Percent 2 2" xfId="131"/>
    <cellStyle name="Percent 2 2 2" xfId="132"/>
    <cellStyle name="Percent 2 3" xfId="133"/>
    <cellStyle name="Percent 3" xfId="134"/>
    <cellStyle name="Percent 3 2" xfId="135"/>
    <cellStyle name="Percent 3 2 2" xfId="136"/>
    <cellStyle name="Percent 3 3" xfId="137"/>
    <cellStyle name="Percent 4" xfId="138"/>
    <cellStyle name="Result" xfId="139"/>
    <cellStyle name="Result 1" xfId="140"/>
    <cellStyle name="Result 2" xfId="141"/>
    <cellStyle name="Result2" xfId="142"/>
    <cellStyle name="Result2 1" xfId="143"/>
    <cellStyle name="Result2 2" xfId="144"/>
    <cellStyle name="Total 2" xfId="145"/>
    <cellStyle name="Total 2 2" xfId="146"/>
    <cellStyle name="Warning Text 2" xfId="147"/>
    <cellStyle name="Warning Text 2 2" xfId="148"/>
  </cellStyles>
  <dxfs count="161">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 formatCode="0"/>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 formatCode="0"/>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 formatCode="0"/>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2" formatCode="0.00"/>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 formatCode="0"/>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border diagonalUp="0" diagonalDown="0" outline="0">
        <left/>
        <right/>
        <top/>
        <bottom/>
      </border>
    </dxf>
    <dxf>
      <font>
        <b val="0"/>
        <i val="0"/>
        <strike val="0"/>
        <condense val="0"/>
        <extend val="0"/>
        <outline val="0"/>
        <shadow val="0"/>
        <u val="none"/>
        <vertAlign val="baseline"/>
        <sz val="11"/>
        <color auto="1"/>
        <name val="Calibri"/>
        <scheme val="minor"/>
      </font>
      <border diagonalUp="0" diagonalDown="0" outline="0">
        <left/>
        <right/>
        <top/>
        <bottom/>
      </border>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75" formatCode="m/d/yy;@"/>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5" formatCode="_(* #,##0_);_(* \(#,##0\);_(* &quot;-&quot;??_);_(@_)"/>
      <fill>
        <patternFill patternType="none">
          <fgColor indexed="64"/>
          <bgColor indexed="65"/>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border diagonalUp="0" diagonalDown="0" outline="0">
        <left/>
        <right/>
        <top/>
        <bottom/>
      </border>
    </dxf>
    <dxf>
      <numFmt numFmtId="165" formatCode="_(* #,##0_);_(* \(#,##0\);_(* &quot;-&quot;??_);_(@_)"/>
    </dxf>
    <dxf>
      <numFmt numFmtId="19" formatCode="m/d/yyyy"/>
    </dxf>
    <dxf>
      <font>
        <strike val="0"/>
        <outline val="0"/>
        <shadow val="0"/>
        <vertAlign val="baseline"/>
        <sz val="11"/>
        <color auto="1"/>
      </font>
    </dxf>
    <dxf>
      <font>
        <b val="0"/>
        <strike val="0"/>
        <outline val="0"/>
        <shadow val="0"/>
        <u val="none"/>
        <vertAlign val="baseline"/>
        <sz val="11"/>
        <color theme="0"/>
        <name val="Calibri"/>
        <scheme val="minor"/>
      </font>
      <fill>
        <patternFill patternType="none">
          <fgColor indexed="64"/>
          <bgColor auto="1"/>
        </patternFill>
      </fill>
      <alignment vertical="bottom" textRotation="0" wrapText="1" indent="0" justifyLastLine="0" shrinkToFit="0" readingOrder="0"/>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hen/Dropbox%20(NRDC)/International%20Climate%20Team/Coal%20Data%20and%20Reports/Coal%20and%20Renewables%20Project%202017/COP%20-%20SLV%20Han/Coal%20report%20database%20and%20text/2016%20Coal%20Database%2011-2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2007-2015 Projects"/>
      <sheetName val="2016 &amp; Pending Projects"/>
      <sheetName val="GCountryBar"/>
      <sheetName val="GYearlyCountry"/>
      <sheetName val="2016"/>
      <sheetName val="GPendingStack"/>
      <sheetName val="GYearOrgStack"/>
      <sheetName val="GSectorShare"/>
      <sheetName val="GRecipientBar"/>
      <sheetName val="Notes &amp; Methodology"/>
      <sheetName val="Responses"/>
      <sheetName val="GOrgBar"/>
      <sheetName val="BigSpendersxSector"/>
      <sheetName val="FunderbyCountry"/>
      <sheetName val="Dev Bank Share by Country"/>
      <sheetName val="EmissionCompleted"/>
      <sheetName val="EmissionPending"/>
      <sheetName val="GCountryShareDone"/>
      <sheetName val="GCountrySharePending"/>
      <sheetName val="GOrgShare&amp;CO2"/>
      <sheetName val="GCO2Share"/>
      <sheetName val="Statements about Emissions"/>
      <sheetName val="Non-G20"/>
      <sheetName val="ChinaCoal1"/>
      <sheetName val="ChinaCoal2"/>
      <sheetName val="ChinaCoal3"/>
      <sheetName val="ChinaCoal4"/>
      <sheetName val="China commercial"/>
      <sheetName val="TBD Projects"/>
      <sheetName val="2016 Coal Database 11-28-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an" refreshedDate="42933.605690972225" createdVersion="4" refreshedVersion="4" minRefreshableVersion="3" recordCount="895">
  <cacheSource type="worksheet">
    <worksheetSource name="Table1"/>
  </cacheSource>
  <cacheFields count="25">
    <cacheField name="Country" numFmtId="0">
      <sharedItems count="30">
        <s v="Argentina"/>
        <s v="Australia"/>
        <s v="Austria"/>
        <s v="Belgium"/>
        <s v="Brazil"/>
        <s v="Canada"/>
        <s v="China"/>
        <s v="Denmark"/>
        <s v="EU"/>
        <s v="Finland"/>
        <s v="France"/>
        <s v="Germany"/>
        <s v="India"/>
        <s v="Italy"/>
        <s v="Japan"/>
        <s v="Malaysia"/>
        <s v="Mexico"/>
        <s v="Multilateral"/>
        <s v="Multilateral (other)"/>
        <s v="Netherlands"/>
        <s v="Norway"/>
        <s v="Poland"/>
        <s v="Russia"/>
        <s v="Saudi Arabia"/>
        <s v="South Africa"/>
        <s v="South Korea"/>
        <s v="TBD"/>
        <s v="Turkey"/>
        <s v="United Kingdom"/>
        <s v="United States"/>
      </sharedItems>
    </cacheField>
    <cacheField name="Institution" numFmtId="0">
      <sharedItems containsBlank="1" count="98">
        <s v="African Development Bank"/>
        <s v="Export Finance and Insurance Corporation (EFIC)"/>
        <s v="Northern Australia Infrastructure Fund"/>
        <s v="European Bank for Reconstruction and Development"/>
        <s v="Clean Energy Finance Corporation"/>
        <s v="OeEB"/>
        <s v="Belgian Investment Company for Developing Countries"/>
        <s v="Canadian Climate Fund"/>
        <s v="Export Development Canada"/>
        <s v="Government of Canada"/>
        <s v="Export Development Canada (EDC)"/>
        <s v="China Development Bank"/>
        <s v="Export-Import Bank of China"/>
        <s v="Sinosure - China Export &amp; Credit Insurance Corporation"/>
        <s v="China Silk Road Fund"/>
        <s v="TBD"/>
        <s v="TBD Ex-Im Bank, ICBC, and CDB."/>
        <s v="TBD China Africa Development Fund "/>
        <s v="China Africa Development Fund"/>
        <m/>
        <s v="TBD Bank of China/Sinosure"/>
        <s v="TBD DFI"/>
        <s v="TDB under China Pakistan Economic Corridor"/>
        <s v="TBD Export-Import Bank of China and Sinosure"/>
        <s v="TBD China Development Bank and Sinosure"/>
        <s v="N/A"/>
        <s v="TBD China Africa Development Fund"/>
        <s v="Eksport Kredit Fonden"/>
        <s v="DANIDA"/>
        <s v="European Union"/>
        <s v="Finnfund"/>
        <s v="Compagnie Francaise d'Assurance pour le Commerce Exterieur (COFACE)"/>
        <s v="Proparco"/>
        <s v="Agence Francaise de Development"/>
        <s v="Euler Hermes"/>
        <s v="Kreditanstalt für Wiederaufbau (KfW)"/>
        <s v="Kreditanstalt für Wiederaufbau (KfW IPEX)"/>
        <s v="DEG"/>
        <s v="KfW IPEX Bank"/>
        <s v="Kreditanstalt für Wiederaufbau (KfW DEG)"/>
        <s v="Government of Germany"/>
        <s v="Export Import Bank of India"/>
        <s v="State Bank of India"/>
        <s v="Servizi Assicurativi del Commercio Estero (SACE)"/>
        <s v="Japan Bank for International Cooperation (JBIC)"/>
        <s v="Nippon Export and Investment Insurance (NEXI)"/>
        <s v="Japan International Cooperation Agency (JICA)"/>
        <s v="TBD JICA/JBIC"/>
        <s v="Japan Oil Gas and Metals National Corporation"/>
        <s v="Japan International Cooperation Agency"/>
        <s v="Japan Bank for International Cooperation"/>
        <s v="Development Bank of Japan"/>
        <s v="Export-Import Bank of Malaysia"/>
        <s v="Nacional Financiera - Nafinsa"/>
        <s v="Banco Nacional de Comercio Exterior - Bancomext"/>
        <s v="World Bank - International Development Association"/>
        <s v="Asian Development Bank"/>
        <s v="International Finance Corporation"/>
        <s v="Islamic Development Bank"/>
        <s v="World Bank"/>
        <s v="European Investment Bank"/>
        <s v="Inter-American Development Bank"/>
        <s v="Clean Technology Fund"/>
        <s v="Black Sea Trade and Development Bank"/>
        <s v="Corporacion Andina de Fomento (CAF)"/>
        <s v="African Development Fund"/>
        <s v="Climate Investment Funds"/>
        <s v="International Development Association"/>
        <s v="Banco Centroamericano de Integracion Economica (CABEI)"/>
        <s v="OPEC Fund for International Development"/>
        <s v="Emerging Africa Infrastructure Fund"/>
        <s v="East African Development Bank"/>
        <s v="Eastern and Southern African Trade and Development Bank"/>
        <s v="EU-Africa Infrastructure Trust Fund (EU-AITF) "/>
        <s v="Interact Climate Change Facility "/>
        <s v="North American Development Bank"/>
        <s v="China Co-financing Fund for Latin America and the Caribbean"/>
        <s v="Inter-American Investment Corporation"/>
        <s v="Arab Petroleum Investments Corporation"/>
        <s v="FMO"/>
        <s v="Norfund"/>
        <s v="Korporacja Ubezpieczén Kredytów Eksportowych (KUKE)"/>
        <s v="Russian Development Bank (VEB)"/>
        <s v="Development Bank of Southern Africa"/>
        <s v="Industrial Development Corporation of South Africa"/>
        <s v="Export Credit Insurance Corporation of South Africa "/>
        <s v="Export-Import Bank of Korea (Kexim)"/>
        <s v="Korea Trade Insurance Corporation (K-sure)"/>
        <s v="Korea Development Bank"/>
        <s v="Export-Import Bank of Korea (Kexim) "/>
        <s v="TBD Korea"/>
        <s v="Export-Import Bank of Korea"/>
        <s v="Halkbank"/>
        <s v="Royal Bank of Scotland"/>
        <s v="Export-Import Bank of the United States (EXIM)"/>
        <s v="Export Import Bank of the United States"/>
        <s v="Overseas Private Investment Corporation"/>
        <s v="USTDA"/>
      </sharedItems>
    </cacheField>
    <cacheField name="Type" numFmtId="0">
      <sharedItems containsBlank="1"/>
    </cacheField>
    <cacheField name="Amount (in USD)" numFmtId="165">
      <sharedItems containsString="0" containsBlank="1" containsNumber="1" minValue="0" maxValue="3421000000"/>
    </cacheField>
    <cacheField name="Project Sponsor" numFmtId="0">
      <sharedItems containsBlank="1"/>
    </cacheField>
    <cacheField name="Construction" numFmtId="0">
      <sharedItems containsBlank="1"/>
    </cacheField>
    <cacheField name="Equipment (GENMFR)" numFmtId="0">
      <sharedItems containsBlank="1"/>
    </cacheField>
    <cacheField name="Project" numFmtId="0">
      <sharedItems count="534">
        <s v="Partial risk guarantee for coal-to-power investment in Nigeria"/>
        <s v="Support for Eskom Capacity Expansion Program"/>
        <s v="Not identified"/>
        <s v="Carmichael Coal Mines and Railway"/>
        <s v="Anglo Coal Australia"/>
        <s v="NRW Holdings Ltd"/>
        <s v="Xstrata Coal Queensland"/>
        <s v="EPS Restructuring"/>
        <s v="Taralga Wind Farm Financing (106.8MW)"/>
        <s v="Ararat Wind Farm (240MW)"/>
        <s v="Penonome II Wind Farm (215MW)"/>
        <s v="Valle Solar PV Plant (70MW)"/>
        <s v="Ten Merina Solar PV Plant (30MW)"/>
        <s v="Lower Solu Hydropower IPP (82MW)"/>
        <s v="Pozo Almonte and Calama Solar Financing (26.1MW)"/>
        <s v="Gemini Offshore Wind Farm (600MW)"/>
        <s v="Bord Gais Wind Farm Portfolio Acquistion 2014"/>
        <s v="Nordsee One Offshore Wind Farm (332MW)"/>
        <s v="Negros Occidental Biomass Power Plants (70MW)"/>
        <s v="Seegronan and Crockandun Wind Farms (29.1MW)"/>
        <s v="Providencia Solar PV Plant (100MW)"/>
        <s v="Sky Solar's Uruguay PV portfolio (69.9MW)"/>
        <s v="Mohammed bin Rashid Al Maktoum Solar PV Phase III (800MW) PPP"/>
        <s v="En+ Group and Shenhua Group coal mining and exploration"/>
        <s v="Thar Coal Block II Mine Phase I"/>
        <s v="SUMSEL-5 POWER STATION_x000a_(AKA SUMATERA SELATAN-_x000a_5)"/>
        <s v="Sepco III"/>
        <s v="Angren thermal power plant modernization"/>
        <s v="Bishkek CHP power station (300MW)"/>
        <s v="Thai Binh 2 Coal Power Plant"/>
        <s v="JERADA - EXTENSION"/>
        <s v="Kostolac B3"/>
        <s v="Pangkalan Susu Units 1 and 2 Coal Power Plant (400MW)"/>
        <s v="Takalar Steam Coal Power Plant"/>
        <s v="Vinh Tan 1 Coal-Fired Thermal Power Plant (1200MW)"/>
        <s v="Kendari-3"/>
        <s v="Tanjung Enim Coal-Fired Mine-Mouth Power Plant (Sumsel 8 - Bangko Tengah)"/>
        <s v="PT.GCNS ferronickel smelter and_x000a_2×150MW thermal power plant (300MW)"/>
        <s v="Maamba Coal-Fired Power Plant Phase I (300MW)"/>
        <s v="CELUKAN BAWANG 3"/>
        <s v="Hai Duong Coal-Fired Power Plant"/>
        <s v="Hwange Power Station Expansion (600MW)"/>
        <s v="Engro Powergen Thar Coal-I"/>
        <s v="Java-7 Coal-Fired Power Plant (2000MW)"/>
        <s v="Payra coal power station in Kalapara (1320MW)"/>
        <s v="Bengkulu Coal Power Plant (200MW)"/>
        <s v="Hassyan Coal‐Fired Power Plant Phase 1 (2400MW)"/>
        <s v="Salt Range power station (stalled)"/>
        <s v="Kostolac mine exapnsion and power plant (350MW)"/>
        <s v="Captive coal-fired power plant (300MW)"/>
        <s v="Port Qasim Port Power Station (1320MW)[Close date uncertain]"/>
        <s v="Gwadar Coal Power Project (300 MW)"/>
        <s v="Gazaria Power Plant (350MW)"/>
        <s v="Huadian Chittagong (1320MW)"/>
        <s v="Maheshkhali power station (PowerChina) 1320-megawatt (MW)"/>
        <s v="Alam Banskhali Chittagong Power Plant (1320MW)"/>
        <s v="Payra coal power station in Kalapara Phase 2 (1320MW)"/>
        <s v="Tuzla B (450MW)"/>
        <s v="Banovici (350MW)"/>
        <s v="Ugljevik 3 (600MW), Ugljevik-Istok 2 and Delici coal mines"/>
        <s v="Pampa II (300MW)"/>
        <s v="USITESC Coal Plant (300MW)"/>
        <s v="Vale power station Unit 1 (300MW) and Unit 2 (300MW)"/>
        <s v="Pedras Altas Ouro Negro power station Units 1 and 2 (300MW each)"/>
        <s v="LAEM YAI SAEN (1830MW)"/>
        <s v="Power Plant neear Bogota (300MW)"/>
        <s v="Coal Power Plants 6,510 MW and investments of $8bn"/>
        <s v="Hamarawein Port ShangHai Electric Plant"/>
        <s v="Hamrawein Port DongFang Plant"/>
        <s v="Hamrawein 埃及汉拉维恩 Power Plant Phase 1 (1980MW)"/>
        <s v="Hamrawein 埃及汉拉维恩 Power Plant Phase 2 (1980MW)"/>
        <s v="Gardabani/Tkibuli Power Plant (150MW)"/>
        <s v="Aboano Phase II"/>
        <s v="Aboano Phase I (700MW) (stalled)"/>
        <s v="Florina (450 MW)"/>
        <s v="Jambi Province 2-unit mine-mouth coal-fired power plant  (400MW)"/>
        <s v="Kalbar-2 Power Plant (200MW) PPP"/>
        <s v="Power Plant in Bantaeng (600MW)"/>
        <s v="SURALAYA 2 BANTEN "/>
        <s v="BISHKEK 12"/>
        <s v="BISHKEK 13"/>
        <s v="Kammwamba Power Plant, Zalewa Phase II (700MW)"/>
        <s v="Kamwamba Power Plant, Zalewa Phase I (300MW)"/>
        <s v="Baganuur (700MW)"/>
        <s v="CHANDGANA Coal Plant Phase 1 (300MW)"/>
        <s v="CHANDGANA Coal Plant Phase 2 (300MW)"/>
        <s v="Tavan Tolgoi Coking Coal Project"/>
        <s v="Tevshiin Gobi (600MW)"/>
        <s v="Pljevlja II lignite power plant (254MW)"/>
        <s v="JERADA 4"/>
        <s v="Ncondezi Coal-Fired Power Plant Phase 2 and later (300*5MW)"/>
        <s v="Ncondezi Coal-Fired Power Plant Phase I (300MW) Expected financial close 2017"/>
        <s v="Tigyit (120MW)"/>
        <s v="BENUE COAL 1"/>
        <s v="BENUE COAL 2"/>
        <s v="BIN QASIM SIDDIQSONS 1"/>
        <s v="Medupi Coal Fired Power Station (4764 MW)"/>
        <s v="Hubco Power Plant (1320MW)"/>
        <s v="KARACHI COAL 1"/>
        <s v="Keti Bandar power station (1320MW)"/>
        <s v="Muzaﬀargarh Coal Power Project (1320MW)"/>
        <s v="Oracle Power Plant (1320MW)"/>
        <s v="PORT QASIM DATANG 1"/>
        <s v="PORT QASIM DATANG 2"/>
        <s v="PORT QASIM LUCKY 1"/>
        <s v="Rahim Yar Khan Power plant (1320MW)"/>
        <s v="THAR BLOCK-I NO 1"/>
        <s v="THAR BLOCK-I NO 2"/>
        <s v="THAR BLOCK-VI NO 1"/>
        <s v="THAR BLOCK-VI NO 2"/>
        <s v="Thar Power Plant (330MW)"/>
        <s v="BATANGAS BAY 1"/>
        <s v="ROVINARI 7"/>
        <s v="ARKYIAI 1"/>
        <s v="ARKYIAI 2"/>
        <s v="ARKYIAI 3"/>
        <s v="Mbeya  mine mouth coal power plant (250-350MW)"/>
        <s v="Mchuchuma coal mine and power plant (600MW)"/>
        <s v="Rukwa Coal to Power Project"/>
        <s v="CHACHOENGSAO NPS 1"/>
        <s v="CHACHOENGSAO NPS 2"/>
        <s v="CHACHOENGSAO NPS 3"/>
        <s v="CHACHOENGSAO NPS 4"/>
        <s v="BATI KARADENIZ 1"/>
        <s v="BATI KARADENIZ 2"/>
        <s v="BEYPAZARI COGEN 1"/>
        <s v="BEYPAZARI COGEN 2"/>
        <s v="SOMA KOLIN 1"/>
        <s v="SOMA KOLIN 2"/>
        <s v="Kyiv and Lviv coal plants"/>
        <s v="Hassyan Coal‐Fired Power Plant Phase 2 (1200MW)"/>
        <s v="TEXAS CLEAN ENERGY IGCC GT 1"/>
        <s v="KIEN LUONG-1 NO 1"/>
        <s v="KIEN LUONG-1 NO 2"/>
        <s v="Hwange Makomo power station (660MW)"/>
        <s v="LUSULU 2"/>
        <s v="LUSULU 3"/>
        <s v="LUSULU 4"/>
        <s v="Gwayi Mine power station (1200MW)"/>
        <s v="Vinh Tan 3 Coal Power Project (1980MW)"/>
        <s v="Hema Amasra (2x660 MW)"/>
        <s v="POKOT CEMENT PLANT 1"/>
        <s v="POKOT CEMENT PLANT 2"/>
        <s v="Barapukuria Ashuganj power station (1320MW) (shelved)"/>
        <s v="CENTRAL PRIMA BAHARI 3"/>
        <s v="CENTRAL PRIMA BAHARI 4"/>
        <s v="KUALA TANJUNG-1 NO 1"/>
        <s v="KUALA TANJUNG-1 NO 2"/>
        <s v="NISHAT ENERGY 1"/>
        <s v="RUYI MASOOD TEXTILE 1"/>
        <s v="RUYI MASOOD TEXTILE 2"/>
        <s v="TROITSK GRES 11"/>
        <s v="TELUK SIRIH POWER_x000a_STATION"/>
        <s v="Cilacap coal-fired power plant (660MW)"/>
        <s v="Tiroda Power Plant - Gondia - Additional Facility"/>
        <s v="Aboano Coal Plant's Accompanying Coal Port"/>
        <s v="Karaganda Coal Processing Plant"/>
        <s v="Negrete Cuel Wind Farm Financing (33MW)"/>
        <s v="White Rock Wind Farm Stage 1 (175MW)"/>
        <s v="solar modules for a photo voltaic project"/>
        <s v="RENEWABLES PROJECTS"/>
        <s v="Butendiek offshore wind financing (288MW)"/>
        <s v="Pintado Wind Farm Financing (Luz de Mar) (88MW)"/>
        <s v="Evermore Renewable Energy CHP Financing (15.8MW)"/>
        <s v="Widnes Biomass Plant (20.2MW)"/>
        <s v="Tilbury Biomass Plant (40MW)"/>
        <s v="Veja Mate Offshore Wind Farm (400MW)"/>
        <s v="Gabal El Zeit Wind Farm (200MW)"/>
        <s v="Project Skywalker Onshore Wind Farm (1GW) 40% Investment Facility"/>
        <s v="Low Marnham Biomass CHP Plant (42MW)"/>
        <s v="Sainshand Wind Farm (55MW)"/>
        <s v="Jeneponto 1 Wind Farm (62.5MW)"/>
        <s v="Atacama 1 Solar Complex (210MW)"/>
        <s v="Oruro Solar PV Plant (50MW)"/>
        <s v="Ouagadougou Solar PV Plant (30MW)"/>
        <s v="Shamsuna Solar PV Plant (10MW)"/>
        <s v="Arabia One Solar PV Plant (10MW)"/>
        <s v="Falcon Solar PV Plant (21MW)"/>
        <s v="Adenium Energy Capital Solar PV Portfolio (30MW)"/>
        <s v="Jordan Solar One PV Plant (20MW)"/>
        <s v="Jordan One Solar PV Plant (66.4MW) PPP"/>
        <s v="Kusile coal-fired power plant, guarantee to cover a loan used for the control and instrumentation contract supplied by Alstom"/>
        <s v="Polesine San Gabriel Wind Farm Financing (50MW)"/>
        <s v="Ouarzazate Thermal Solar IPP (Noor Phase I) (160MW)"/>
        <s v="EJRE Solar PV Plant (20MW)"/>
        <s v="Green Land Solar PV Plant (10MW)"/>
        <s v="Oryx Solar PV Plant (10MW)"/>
        <s v="Lake Turkana Wind Farm (300MW)"/>
        <s v="Mecanismos de Energia Renovable (Mecer) Solar PV Plant (25MW)"/>
        <s v="Marcona Wind Farm (32.1MW)"/>
        <s v="Tres Hermanas Wind Farm (97.15MW)"/>
        <s v="Gul Ahmed Wind Power Plant (50MW)"/>
        <s v="Noor II Concentrated Solar Power (CSP) Plant (200MW)"/>
        <s v="Noor III Concentrated Solar Power (CSP) Plant (150MW)"/>
        <s v="Alisios Wind Farms (80MW)"/>
        <s v="Los Loros Solar PV Plant (54MW)"/>
        <s v="Al Rajef Wind Farm (82MW)"/>
        <s v="Empire Solar PV Plant (67MW) PPP"/>
        <s v="Pan African Solar PV Plant (75MW)"/>
        <s v="Redstone CSP Plant (100MW)"/>
        <s v="Harpo Hydro Power Plant (35MW)"/>
        <s v="Kenya Wind &amp; Solar PV Portfolio (10.2MW)"/>
        <s v="Kiwano Solar Thermal Plant (100MW)"/>
        <s v="Meru Wind Farm Phase 1 (100MW)"/>
        <s v="Sharm El-Sheikh Solar PV Plant (40MW)"/>
        <s v="Mining of Coal"/>
        <s v="Coalmining machinery: conversion of the air cooling system"/>
        <s v="Coalmining machinery: roller loader including additional equipment"/>
        <s v="Coking plants: coke oven machines including spare parts"/>
        <s v="Coal processing: coal grinding plant"/>
        <s v="Coal processing: coke oven machine including services"/>
        <s v="Coalmining machinery: folding shovel excavator"/>
        <s v="Coalmining machinery: expansion of a longwall mining system for the Narrabri mine"/>
        <s v="Equipment for coal mining: Extension of Strebbausystems for Narrabri mine"/>
        <s v="Coal Processing: Technological equipment"/>
        <s v="Coalmining machinery: hydraulic control for shields"/>
        <s v="Coalmining machinery: tracked loaders"/>
        <s v="Coalmining machinery: crusher, spreader, portal scraper, equipment "/>
        <s v="Coalmining machinery: pit prop and unlockable non-return valve"/>
        <s v="Modernisation of Israeli coal-fired power plants"/>
        <s v="Mouda Thermal Power Plant in Maharashtra"/>
        <s v="Ptolemaida V Coal-fired Power Plant"/>
        <s v="Coal-fired power plants:  steam generators in units of the Bitola power plant"/>
        <s v="Coal-fired power plants: sprocket plus fixtures"/>
        <s v="Kudgi Super Thermal Power Project"/>
        <s v="Plomin C Coal-fired power plants"/>
        <s v="Coal-fired power plants: core components for flue gas cleaning system of the Aghios Dimitrios power plant"/>
        <s v="Coal-fired power plant: steam turbines and generators"/>
        <s v="Coal-fired power plants:  mixer for ash conditioning incl. services"/>
        <s v="Coal-fired power plants: pipes to equip vessels"/>
        <s v="Coal-fired power plants: control system and field instrumentation"/>
        <s v="Renovation &amp; Retrofitting of Electro Static Precipitators"/>
        <s v="Suralaya Power Plant "/>
        <s v="Efficiency and environmental measures in the Mongolian power plant fleet"/>
        <s v="Nikola Tesla A Power Plant "/>
        <s v="Coal processing: equipment for manufacturing briquettes"/>
        <s v="Coal-fired power plants:  modernisation of coal mixing storage bays"/>
        <s v="Coal-fired power plants: ball track incl. fixtures"/>
        <s v="Coal-fired power plants: power plant units"/>
        <s v="Coal-fired power plants: steam generator plant and turbine unit"/>
        <s v="Coal-fired power plants: steam turbines/generators for a coal-fired power plant"/>
        <s v="Coalmining machinery: crushers, conveyors, spreaders, installation engineering"/>
        <s v="Coalmining machinery: equipment for mining coal"/>
        <s v="Plants for the mining of coal"/>
        <s v="Construction of a new district heating system in Linxia"/>
        <s v="Energy Sector Programme III (district heating)"/>
        <s v="Modernisation of a district heating system in Jinzhong "/>
        <s v="Coke oven"/>
        <s v="Construction of a new district heating system (Energy Efficiency and Renewables Programme – Phase IV)"/>
        <s v="Murray Onshore Wind  Rothes II  &amp; Mid Hill Wind Financing (117.3MW)"/>
        <s v="Vents du Kempt Wind Farm Financing (101MW)"/>
        <s v="Skogberget wind farm financing (84.6MW)"/>
        <s v="Viger-Denonville Wind Farm Financing (25MW)"/>
        <s v="Generacion Eolica Minas Financing (42MW)"/>
        <s v="Seigneurie de Beaupre Wind Farm Financing Phase 2 (68MW)"/>
        <s v="La Huayca II Solar PV Financing (29.1MW)"/>
        <s v="Tallentire Hill &amp; 10MW Meikle Carewe Wind farm financing (12MW)"/>
        <s v="NOP Agrowind Farm (195MW)"/>
        <s v="Fortel-Bonnieres and Saint-François Wind Financing (45.6MW)"/>
        <s v="Temiscouata II Wind Farm (50MW)"/>
        <s v="Bogoria-Silali Geothermal Power Plant (800MW) Additional Facility"/>
        <s v="Hayabusa Wind Farm Portfolio Financing 2015 (69.6MW)"/>
        <s v="La Coste Solar Farm Portfolio (57.6MW)"/>
        <s v="Gibson Bay Wind Farm (111MW)"/>
        <s v="Aura II Solar PV Plant (61MW)"/>
        <s v="Silute Wind Farm (60MW)"/>
        <s v="San Juan Wind Farm (185MW)"/>
        <s v="Pampa Wind Farm Uruguay (141.6MW)"/>
        <s v="Krnovo Wind Farm (72MW)"/>
        <s v="Melfi (Alfa) Wind Farm (28.8MW)"/>
        <s v="Temiscouata I Wind Park (23.5MW)"/>
        <s v="Dudgeon Offshore Wind Farm (402MW)"/>
        <s v="Beatrice Offshore Wind Farm (588MW)"/>
        <s v="Hornsdale Wind Farm Phase 2 (100MW)"/>
        <s v="Rentel Offshore Wind Farm (309MW)"/>
        <s v="TBCC Thatta District Wind Complex (150MW)"/>
        <s v="Belle River Wind Farm (100MW)"/>
        <s v="Gold of Suez Wind Farm"/>
        <s v="North Kent Wind I Wind Farm (100MW)"/>
        <s v="West Nile CSP Plant (100MW)"/>
        <s v="Aela Energia Chilean Wind Portfolio (299MW)"/>
        <s v="Dolovo Wind Farm (158MW)"/>
        <s v="Morocco (ONEE) Wind Power Programme (850MW)"/>
        <s v="Noor Midelt CSP-PV Complex (800MW)"/>
        <s v="Noor PV I Solar Trio (177MW) PPP"/>
        <s v="Shirsuphal Solar Plant (50MW)"/>
        <s v="Gujarat NRE Cokin Coal Mine Capex facility 2013"/>
        <s v="Bulawayo Thermal Power Plant Rehabilitation"/>
        <s v="Rampal Maitree Coal Fired Power Plant (1320MW)"/>
        <s v="Long Phu 2 Power Plant (1320MW)"/>
        <s v="Punta Catalina_x000a_Implementation of a 752_x000a_MW (376 MW x 2 unit)_x000a_coal-fired thermal power_x000a_plant_x000a_"/>
        <s v="Floating Transfer Stations for Transshipping Coal from East Kalimantan Mines"/>
        <s v="Malinau coal mines"/>
        <s v="Yakutugol coal mine -Electric Mining Shovel"/>
        <s v="Kudgi Super Thermal Power Project (2400MW)"/>
        <s v="Vinh Tan 4 Coal-Fired Power Plant Project"/>
        <s v="Meja Urja Nigam Private Limited (MUNPL)"/>
        <s v="Meja Supercritical Coal-fired Power Plant"/>
        <s v="Safi Coal Fired Power Generation Project"/>
        <s v="Safi Ultra Supercritical Coal-fired Power Plant"/>
        <s v="Thai Binh Power Plant and Transmission Lines (II)"/>
        <s v="Duyen Hai Plant Expansion"/>
        <s v="Thai Binh Thermal Power Plant and Transmission Lines Construction Project (III)"/>
        <s v="Jimah East 3B Power Plant (2000MW)"/>
        <s v="Expansion of Lontar Coal-Fired Power Plant"/>
        <s v="Batang Power Plant (2000MW)"/>
        <s v="Tanjung Jati B Unit 5 and 6 (2000MW)"/>
        <s v="Morupule coal-fired power plant (300MW)"/>
        <s v="4000MW plant in northern Egypt"/>
        <s v="Coal Plant (4000MW in two phases)"/>
        <s v="Sidi Shabib power plant (2000MW)"/>
        <s v="Barauni Power Plant (660MW) (not funding)"/>
        <s v="Darlipali (1600MW) (not funding)"/>
        <s v="Tanda"/>
        <s v="Indramayu (1000MW)"/>
        <s v="Ulaanbaatar CHP5 Power Plant (463.5MW)"/>
        <s v="Matarbari Coal Fired Power Generation Hub (1200MW)"/>
        <s v="Bac Lieu Power Plant (1200MW) (stalled)"/>
        <s v="Nghi Son 2 coal-fired power plant (1200MW)"/>
        <s v="Vinh Tan 4 Coal-Fired Thermal Power Plant Expansion (600MW)"/>
        <s v="Toyo-Thai coal-fired power plant (1280MW)"/>
        <s v="Van Phong I (1320MW)"/>
        <s v="Vung Ang 2 (1200MW)"/>
        <s v="Cirebon IPP expansion Phase 2 (1000MW)"/>
        <s v="ILO-2 NO 22"/>
        <s v="Caval Ridge Coal Mine Development Project"/>
        <s v="Cochrane Coal-Fired Power Project"/>
        <s v="Indramayu Coal Fired Power Plant Project"/>
        <s v="Boggabri Coal Mine Expansion Project"/>
        <s v="BOSS/PB Coal Exploration Project"/>
        <s v="Nacala Rail and Port Project"/>
        <s v="ICE Costa Rica Geothermal Portfolio (155MW)"/>
        <s v="Alasehir Geothermal Plant in Manisa (30MW)"/>
        <s v="Sarulla Geothermal Plant (330MW)"/>
        <s v="Rajamandala Hydroelectric Power Plant (47MW)"/>
        <s v="Rantau Dedap Geothermal IPP (220MW)"/>
        <s v="Shams Ma’an Solar PV Plant (52.5MW)"/>
        <s v="Theistareykir Geothermal Plant (90MW)"/>
        <s v="Tees CHP Biomass Plant (299MW)"/>
        <s v="Tsetsii Wind Farm (50MW)"/>
        <s v="80MW Muara Laboh geothermal power plant"/>
        <s v="Rantau Dedap Geothermal Additional Facility"/>
        <s v="Laguna Colorada Geothermal Power Plant Second Stage (100MW)"/>
        <s v="ReNew Power Portfolio Financing"/>
        <s v="Matarbari Ultra Super Critical Coal-Fired Power Project"/>
        <s v="Chittagong Main Power Grid Strengthening Project_x000a_Dhaka-Chittagong Main Power Grid Strengthening Project"/>
        <s v="Kreung Isep Hydropower Project (10MW)"/>
        <s v="Aura Solar PV Financing (36.8MW)"/>
        <s v="La Bufa Wind Farm (130MW)"/>
        <s v="Clean-up &amp; Land Reclamation Project (Additional Financing)"/>
        <s v="Coal to Cleaner Fuel Conversion for Heating in Ger District and Power Generation"/>
        <s v="Jamshoro Power Generation Project - Stage 1"/>
        <s v="SN- Second Governance and Growth Support Credit (including Sendou coal power plant)"/>
        <s v="Stora Enso  (Stora China III)"/>
        <s v="ACWA Equity"/>
        <s v="Jamshoro Coal-Fired Power Plant Expansion (1200MW)"/>
        <s v="Kosovo power plant"/>
        <s v="Coal-fired power plant in Moatize (300MW)"/>
        <s v="Oyu Tolgoi Power Plant "/>
        <s v="Ninth Poverty Reduction Support Credit (PRSC 9)"/>
        <s v="Power Sector Reform: Development Policy Credit"/>
        <s v="EnBW Baltic 2 Wind Farm (288MW)"/>
        <s v="Solarco PV Plants Financing (57MW)"/>
        <s v="Foundation Wind Energy Wind Farm II (50MW)"/>
        <s v="Palmatir Wind Financing (50MW)"/>
        <s v="Bangchak Solar PV (16MW)"/>
        <s v="Amakhala Emoyeni Phase 1 Wind Farm Financing (134.4MW)"/>
        <s v="PEPSA Wind Farms Portfolio (103.5MW)"/>
        <s v="Jelinak wind farm financing (30MW)"/>
        <s v="Foundation Wind Energy Wind Farm I (50MW)"/>
        <s v="Amanecer Solar CAP Plant Financing (100MW)"/>
        <s v="Tafila wind farm financing (117MW)"/>
        <s v="Palowo Wind Farm Phase 1 Financing (79.5MW)"/>
        <s v="Orla Wind Farm Phase 1 (22.5MW)"/>
        <s v="Surajbari Wind Farms Project (170MW)"/>
        <s v="EDPR Solar PV Portfolio (50MW)"/>
        <s v="San Andres Solar PV Plant (50.7MW)"/>
        <s v="Topolog-Dorobantu Wind Farm (84MW)"/>
        <s v="Crucea North Wind Farm (108MW)"/>
        <s v="Megalim Solar Thermal Plant (121MW)"/>
        <s v="Ashelim Solar Thermal Plant (121MW)"/>
        <s v="Tauron Distribution Network Upgrade 2014"/>
        <s v="Enel Wind Brazil Portfolio (342MW)"/>
        <s v="Rudine Wind Power Plant (34.2MW)"/>
        <s v="Luz del Norte Solar PV Plant (141MW)"/>
        <s v="Skurpie Wind Farm Phase II Financing 2014 (36.8MW)"/>
        <s v="Pacifico Solar Programme (81.7MW)"/>
        <s v="EnBW Baltic 2 Wind Farm Additional Facility (288MW)"/>
        <s v="Sandbank Offshore Wind Project (288MW)"/>
        <s v="SunEdison Jordan Solar PV Plant (23.8MW)"/>
        <s v="Chaiyaphum Wind Farm IPP (81MW)"/>
        <s v="Malvern Wind Farm (36.3MW)"/>
        <s v="Metro Wind Farm (50MW)"/>
        <s v="Khuti Kun Wind Farm (49.5MW)"/>
        <s v="Xina Solar One PPP (100MW)"/>
        <s v="Nordergruende Offshore Wind Farm (111MW)"/>
        <s v="Burnoye PV Solar Farm Phase 1 (50MW)"/>
        <s v="Efeler Geothermal Project (170MW)"/>
        <s v="Mycielin Wind Farm (48MW)"/>
        <s v="Negev Solar Thermal Plant (121MW)"/>
        <s v="Belwind 2 Offshore Wind Phase 2 (165MW)"/>
        <s v="Galloper Offshore Wind Farm (336MW)"/>
        <s v="Karnataka Solar 130MW"/>
        <s v="Khalladi Wind Farm (120MW)"/>
        <s v="Delingha Concentrating Solar Power Park (50MW)"/>
        <s v="Canadian Solar Additional Facility 2016"/>
        <s v="Mytrah Energy Additional Facility"/>
        <s v="Ostro Andhra Wind Farm (98.7MW)"/>
        <s v="Natelu (9.5MW) and Yarnel (9.5MW) Solar PV Plants"/>
        <s v="Gori Wind Farm (20.7MW)"/>
        <s v="Norther Offshore Wind Farm (370MW)"/>
        <s v="Alibunar Wind Farm (42MW)"/>
        <s v="Acciona  Acciona Benban 2 Solar PV Plant (50MW)"/>
        <s v="Acciona Benban 3 Solar PV Plant (50MW)"/>
        <s v="Acwa Power Benban I Solar PV Plant (50MW)"/>
        <s v="Acwa Power Benban II Solar PV Plant (20MW)"/>
        <s v="Acwa Power Benban III Solar PV Plant (50MW)"/>
        <s v="Al Safawi Solar PV Plant (51MW)"/>
        <s v="Arinna Benban Solar PV Plant (25MW)"/>
        <s v="Burnoye PV Solar Farm Phase 2 (50MW)"/>
        <s v="Starsol Solar PV Plant (40MW)"/>
        <s v="Cerro Pabellon Geothermal Power Plant (48MW)"/>
        <s v="Noor Talifalet Solar PV Trio (120MW)"/>
        <s v="Yereimentau Wind Plant (50MW)"/>
        <s v="Scatec Segou Solar PV Plant (33MW)"/>
        <s v="Banie Wind Farm (106MW)"/>
        <s v="Banie Wind Farm Phase 2 (56MW)"/>
        <s v="Boskov Most Hydro Power Plant (70MW)"/>
        <s v="Gulshat PV Solar Plant (48MW)"/>
        <s v="Imavere and 38MW Osula Biomass CHP Plants (38MW)"/>
        <s v="Kulan PV Solar Farm (29MW)"/>
        <s v="Mafraq Solar PV Plant (60.3MW)"/>
        <s v="Terna Energy Additional Facility 2016"/>
        <s v="Portugal Floating Offshore Wind (25MW)"/>
        <s v="Tees Renewable Energy Plant (299MW)"/>
        <s v="Los Molinos Hydro Power Plants (39.8MW)"/>
        <s v="Kabeli-A Hydroelectric Project IPP (37.6MW)"/>
        <s v="ACME Solar Project (100MW)"/>
        <s v="Alcazar Energy Solar 1 PV Plant (50MW)"/>
        <s v="Alcom Energy Solar PV Plant (50MW)"/>
        <s v="Azure Jodhpur Solar PV Plant (40MW)"/>
        <s v="Baglar RES Wind Farm (77.5MW)"/>
        <s v="Cemex IFC Facility"/>
        <s v="Cerradinho Bioenergia Biomass Capacity Expansion"/>
        <s v="CerradinhoBio IFC Facility"/>
        <s v="Continuum Madhya Pradesh Wind Farm (170MW)"/>
        <s v="Daehan Wind Farm (50MW)"/>
        <s v="Delta Solar PV Plant (50MW)"/>
        <s v="Gestamp Solar PV Plant (50MW)"/>
        <s v="Green Infra Wind Farm Portfolio (182.4MW)"/>
        <s v="Horus Solar PV Plant (93MW)"/>
        <s v="KTDA Run-of-river Hydro Power Plants (16MW)"/>
        <s v="Metro Power Sindh Wind Farm (50MW)"/>
        <s v="Lusaka Solar PV Plant (55MW)"/>
        <s v="Masdar Jordan Solar PV Plant (200MW)"/>
        <s v="Mocuba Solar PV Plant (40.5MW)"/>
        <s v="Tafila Wind Farm (49.5 MW)"/>
        <s v="Taqa Arabia Solar PV Plant (50MW)"/>
        <s v="Taqa Solar Reserve Solar PV Plant (50MW)"/>
        <s v="ThomasLloyd Renewable Portfolio Financing"/>
        <s v="Zina Solar PV Plant (26.8MW)"/>
        <s v="Solem Solar PV Complex (290MW)"/>
        <s v="Cerro de Hula Wind Farm Expansion Financing (24MW)"/>
        <s v="Agahozo-Shalom Youth PV Solar Plant (8.5MW)"/>
        <s v="Tres Mesas Wind Farm (148.5MW)"/>
        <s v="Los Santos I Solar PV Plant (14MW)"/>
        <s v="Tororo Solar PV Power Plant (10MW)"/>
        <s v="Vaspet Wind Farm Financing (49.5MW)"/>
        <s v="Orosi Wind project Financing (50MW)"/>
        <s v="Renew Wind II (100.8MW)"/>
        <s v="Nyamwamba (9.2MW) and Mpanga (18MW) Small Hydro Power Plants"/>
        <s v="Siti Small Hydro Power Plant (5MW)"/>
        <s v="Soroti Solar Power Plant (10MW)"/>
        <s v="Aguas El Carmen Hydro Power Project (85MW)"/>
        <s v="Lubilia Small Hydro Power Plant (5.4MW)"/>
        <s v="Supply of mining equipment to Amasra B Coal Mine Project in Turkey"/>
        <s v="Elga Coal Complex"/>
        <s v="Ulaanbaatar Thermal Power Plant No. 4 Project"/>
        <s v="Khanyisa Coal-Fired Power Plant (306MW)_x000a_3,732.42 USD"/>
        <s v="Thabametsi Coal-Fired Power Plant (557.3MW) (USD 6,931.63m)"/>
        <s v="Supply and instilling a coal dense media separation plant"/>
        <s v="Kakamas hydroelectric power plant (12.57MW)"/>
        <s v="Chaba Wind Farm Financing (21MW)"/>
        <s v="Waainek Wind Farm Financing (24MW)"/>
        <s v="Grassridge Wind Farm Financing (61.5MW)"/>
        <s v="De Aar Phase I North Wind Power (96.48MW)"/>
        <s v="De Aar Phase II North Wind Power (138.96MW)"/>
        <s v="Northern Cape Wind Farms (360MW)"/>
        <s v="Ilangalethu 1 CSP Power Plant (100MW)"/>
        <s v="Kathu CSP Power Plant (100MW)"/>
        <s v="Balkhash Coal-fired Power Plant (1320MW)"/>
        <s v="Song hau 1 Power Plant (1200MW)"/>
        <s v="KalSel (Tabalong) Coal-Fired Power Plant (200MW)"/>
        <s v="Barh Super Thermal Power Station (1980MW)"/>
        <s v="Jawaharpur coal-fired electrical power plant (1320MW)"/>
        <s v="Obra-C coal-fired electrical power plant (1320MW)"/>
        <s v="Cirebon IPP expansion Phase 3 (1000MW)"/>
        <s v="MEJILLONES 4"/>
        <s v="Nam Dinh I Coal-Fired Plant (1200MW)"/>
        <s v="Quang Tri 2 power plant (1200)"/>
        <s v="Quynh Lap 2 Power Plant (1200MW)"/>
        <s v="Vung Ang 3 (1200MW)"/>
        <s v="Refurbish  120MW Morupule A power station"/>
        <s v="SANTA MARIA COLBUN 2 (404MW) [Canceled]?"/>
        <s v="Ayoun Moussa Coal-Fired Power Plant (2460MW)"/>
        <s v="Semangka Hydroelectric Power (56.6MW)"/>
        <s v="Windsor PV Solar Farm (50MW)"/>
        <s v="Southgate PV Solar Farm (50MW)"/>
        <s v="Chitose Solar PV Power Plant (38.8MW)"/>
        <s v="El Pelicano Solar PV Power Plant (100MW)"/>
        <s v="Al Fujeij Wind Farm (89.1MW) PPP"/>
        <s v="Maamba Coal Mine"/>
        <s v="Sihanoukville CEL power station (150MW expansion)"/>
        <s v="Mulut Tambang (Sumsel 9)"/>
        <s v="Sumsel 10"/>
        <s v="Many in Mozambique from India"/>
        <s v="Canakkale Thermal Power Plant (330MW)"/>
        <s v="SUEK Corporate Facility Refinancing"/>
        <s v="BHP Billiton Refinancing"/>
        <s v="Ratch Australia Refinancing 2013"/>
        <s v="Burirdanga coal plant  (660MW)"/>
        <s v="Long Phu 3 (1200MW)"/>
        <s v="Oyu Tolgoi gold and copper mine (w/ coal power plant)"/>
        <s v="Sapphire Wind Farm (49.5MW)"/>
        <s v="AST Telecom Solar Corporate Facility 2014"/>
        <s v="Talas de Maciel I Wind Farm (50MW)"/>
        <s v="Paris (9.8MW) and Los Angeles (9.8MW) Solar PV Plants"/>
        <s v="Solar Panama (10.1MW) and Solar Azuero (11.2MW) Power Plants"/>
        <s v="Hawa Wind Farm (50MW) PPP"/>
        <s v="Sidrap Wind Farm (75MW)"/>
        <s v="wind project in Ghoro-Keti Bandar wind corridor (133MW)"/>
        <s v="Kipeto Wind Farm (100MW)"/>
        <s v="Taiba Ndiaye Wind Farm (158MW)"/>
        <s v="Telangana PV Solar Plant (100MW)"/>
      </sharedItems>
    </cacheField>
    <cacheField name="URL1" numFmtId="0">
      <sharedItems containsBlank="1" longText="1"/>
    </cacheField>
    <cacheField name="Financial Close" numFmtId="14">
      <sharedItems containsSemiMixedTypes="0" containsNonDate="0" containsDate="1" containsString="0" minDate="2013-01-01T00:00:00" maxDate="2051-01-02T00:00:00" count="237">
        <d v="2015-03-01T00:00:00"/>
        <d v="2015-12-21T00:00:00"/>
        <d v="2014-01-01T00:00:00"/>
        <d v="2050-01-01T00:00:00"/>
        <d v="2013-01-01T00:00:00"/>
        <d v="2015-10-01T00:00:00"/>
        <d v="2013-08-02T00:00:00"/>
        <d v="2015-12-09T00:00:00"/>
        <d v="2014-12-29T00:00:00"/>
        <d v="2015-06-12T00:00:00"/>
        <d v="2016-12-06T00:00:00"/>
        <d v="2013-07-30T00:00:00"/>
        <d v="2014-05-15T00:00:00"/>
        <d v="2014-08-21T00:00:00"/>
        <d v="2015-03-19T00:00:00"/>
        <d v="2016-08-18T00:00:00"/>
        <d v="2016-10-05T00:00:00"/>
        <d v="2016-11-21T00:00:00"/>
        <d v="2016-11-22T00:00:00"/>
        <d v="2017-06-12T00:00:00"/>
        <d v="2013-03-22T00:00:00"/>
        <d v="2016-04-02T00:00:00"/>
        <d v="2013-05-23T00:00:00"/>
        <d v="2013-07-26T00:00:00"/>
        <d v="2013-09-09T00:00:00"/>
        <d v="2013-09-11T00:00:00"/>
        <d v="2013-12-10T00:00:00"/>
        <d v="2014-09-01T00:00:00"/>
        <d v="2014-12-16T00:00:00"/>
        <d v="2014-12-22T00:00:00"/>
        <d v="2014-12-31T00:00:00"/>
        <d v="2015-02-26T00:00:00"/>
        <d v="2015-03-31T00:00:00"/>
        <d v="2015-05-01T00:00:00"/>
        <d v="2015-07-28T00:00:00"/>
        <d v="2015-08-01T00:00:00"/>
        <d v="2015-12-01T00:00:00"/>
        <d v="2016-04-08T00:00:00"/>
        <d v="2016-09-29T00:00:00"/>
        <d v="2016-10-14T00:00:00"/>
        <d v="2016-10-26T00:00:00"/>
        <d v="2016-11-30T00:00:00"/>
        <d v="2017-01-01T00:00:00"/>
        <d v="2017-02-20T00:00:00"/>
        <d v="2017-12-31T00:00:00"/>
        <d v="2051-01-01T00:00:00"/>
        <d v="2013-04-03T00:00:00"/>
        <d v="2013-04-22T00:00:00"/>
        <d v="2013-02-04T00:00:00"/>
        <d v="2016-06-21T00:00:00"/>
        <d v="2017-02-07T00:00:00"/>
        <d v="2013-02-07T00:00:00"/>
        <d v="2013-04-24T00:00:00"/>
        <d v="2014-11-21T00:00:00"/>
        <d v="2015-03-23T00:00:00"/>
        <d v="2015-06-29T00:00:00"/>
        <d v="2015-11-30T00:00:00"/>
        <d v="2016-03-23T00:00:00"/>
        <d v="2016-11-10T00:00:00"/>
        <d v="2014-10-01T00:00:00"/>
        <d v="2015-05-19T00:00:00"/>
        <d v="2015-05-20T00:00:00"/>
        <d v="2015-05-21T00:00:00"/>
        <d v="2017-02-02T00:00:00"/>
        <d v="2013-05-01T00:00:00"/>
        <d v="2013-03-11T00:00:00"/>
        <d v="2013-06-30T00:00:00"/>
        <d v="2014-11-10T00:00:00"/>
        <d v="2014-12-09T00:00:00"/>
        <d v="2015-02-15T00:00:00"/>
        <d v="2015-03-27T00:00:00"/>
        <d v="2015-10-30T00:00:00"/>
        <d v="2016-06-24T00:00:00"/>
        <d v="2016-11-07T00:00:00"/>
        <d v="2017-02-28T00:00:00"/>
        <d v="2013-10-01T00:00:00"/>
        <d v="2015-01-01T00:00:00"/>
        <d v="2013-05-22T00:00:00"/>
        <d v="2013-12-18T00:00:00"/>
        <d v="2013-12-20T00:00:00"/>
        <d v="2014-02-01T00:00:00"/>
        <d v="2016-06-01T00:00:00"/>
        <d v="2013-06-28T00:00:00"/>
        <d v="2013-03-01T00:00:00"/>
        <d v="2013-04-04T00:00:00"/>
        <d v="2013-06-10T00:00:00"/>
        <d v="2013-07-31T00:00:00"/>
        <d v="2013-08-07T00:00:00"/>
        <d v="2013-08-12T00:00:00"/>
        <d v="2013-10-29T00:00:00"/>
        <d v="2013-11-06T00:00:00"/>
        <d v="2013-12-06T00:00:00"/>
        <d v="2014-02-14T00:00:00"/>
        <d v="2014-05-02T00:00:00"/>
        <d v="2014-06-30T00:00:00"/>
        <d v="2014-07-10T00:00:00"/>
        <d v="2014-08-28T00:00:00"/>
        <d v="2014-09-30T00:00:00"/>
        <d v="2015-02-12T00:00:00"/>
        <d v="2015-03-26T00:00:00"/>
        <d v="2015-04-21T00:00:00"/>
        <d v="2015-04-30T00:00:00"/>
        <d v="2015-07-06T00:00:00"/>
        <d v="2015-07-09T00:00:00"/>
        <d v="2015-08-12T00:00:00"/>
        <d v="2016-05-12T00:00:00"/>
        <d v="2016-05-20T00:00:00"/>
        <d v="2016-06-28T00:00:00"/>
        <d v="2016-10-03T00:00:00"/>
        <d v="2016-11-02T00:00:00"/>
        <d v="2016-11-15T00:00:00"/>
        <d v="2016-12-02T00:00:00"/>
        <d v="2017-05-04T00:00:00"/>
        <d v="2013-09-30T00:00:00"/>
        <d v="2015-10-27T00:00:00"/>
        <d v="2017-04-01T00:00:00"/>
        <d v="2013-01-29T00:00:00"/>
        <d v="2016-12-22T00:00:00"/>
        <d v="2013-08-22T00:00:00"/>
        <d v="2013-11-15T00:00:00"/>
        <d v="2014-01-27T00:00:00"/>
        <d v="2014-07-17T00:00:00"/>
        <d v="2014-09-02T00:00:00"/>
        <d v="2014-09-18T00:00:00"/>
        <d v="2014-09-19T00:00:00"/>
        <d v="2015-01-26T00:00:00"/>
        <d v="2015-07-04T00:00:00"/>
        <d v="2015-11-19T00:00:00"/>
        <d v="2016-03-14T00:00:00"/>
        <d v="2016-03-16T00:00:00"/>
        <d v="2016-06-07T00:00:00"/>
        <d v="2017-02-24T00:00:00"/>
        <d v="2013-03-27T00:00:00"/>
        <d v="2013-03-28T00:00:00"/>
        <d v="2013-05-16T00:00:00"/>
        <d v="2016-03-10T00:00:00"/>
        <d v="2013-11-19T00:00:00"/>
        <d v="2013-11-25T00:00:00"/>
        <d v="2014-05-16T00:00:00"/>
        <d v="2014-08-08T00:00:00"/>
        <d v="2014-09-22T00:00:00"/>
        <d v="2015-01-18T00:00:00"/>
        <d v="2015-12-14T00:00:00"/>
        <d v="2016-08-11T00:00:00"/>
        <d v="2016-09-30T00:00:00"/>
        <d v="2017-03-23T00:00:00"/>
        <d v="2014-06-16T00:00:00"/>
        <d v="2015-12-13T00:00:00"/>
        <d v="2013-05-14T00:00:00"/>
        <d v="2013-05-08T00:00:00"/>
        <d v="2015-12-02T00:00:00"/>
        <d v="2013-05-10T00:00:00"/>
        <d v="2014-12-04T00:00:00"/>
        <d v="2013-12-09T00:00:00"/>
        <d v="2013-12-19T00:00:00"/>
        <d v="2014-03-03T00:00:00"/>
        <d v="2014-05-01T00:00:00"/>
        <d v="2013-02-28T00:00:00"/>
        <d v="2013-07-16T00:00:00"/>
        <d v="2013-01-16T00:00:00"/>
        <d v="2013-04-12T00:00:00"/>
        <d v="2013-04-16T00:00:00"/>
        <d v="2013-04-30T00:00:00"/>
        <d v="2013-05-17T00:00:00"/>
        <d v="2013-05-28T00:00:00"/>
        <d v="2013-07-10T00:00:00"/>
        <d v="2013-07-13T00:00:00"/>
        <d v="2013-07-24T00:00:00"/>
        <d v="2013-11-29T00:00:00"/>
        <d v="2014-02-10T00:00:00"/>
        <d v="2014-03-18T00:00:00"/>
        <d v="2014-03-26T00:00:00"/>
        <d v="2014-03-31T00:00:00"/>
        <d v="2014-06-04T00:00:00"/>
        <d v="2014-06-11T00:00:00"/>
        <d v="2014-06-29T00:00:00"/>
        <d v="2014-07-31T00:00:00"/>
        <d v="2014-08-06T00:00:00"/>
        <d v="2014-09-04T00:00:00"/>
        <d v="2014-09-24T00:00:00"/>
        <d v="2014-11-27T00:00:00"/>
        <d v="2015-01-21T00:00:00"/>
        <d v="2015-02-19T00:00:00"/>
        <d v="2015-03-11T00:00:00"/>
        <d v="2015-03-13T00:00:00"/>
        <d v="2015-06-04T00:00:00"/>
        <d v="2015-06-09T00:00:00"/>
        <d v="2015-06-30T00:00:00"/>
        <d v="2015-07-16T00:00:00"/>
        <d v="2015-10-23T00:00:00"/>
        <d v="2015-11-09T00:00:00"/>
        <d v="2015-11-26T00:00:00"/>
        <d v="2015-12-28T00:00:00"/>
        <d v="2016-01-28T00:00:00"/>
        <d v="2016-04-28T00:00:00"/>
        <d v="2016-05-11T00:00:00"/>
        <d v="2016-09-12T00:00:00"/>
        <d v="2016-12-14T00:00:00"/>
        <d v="2017-06-08T00:00:00"/>
        <d v="2013-11-21T00:00:00"/>
        <d v="2014-02-18T00:00:00"/>
        <d v="2015-04-09T00:00:00"/>
        <d v="2015-08-26T00:00:00"/>
        <d v="2013-09-03T00:00:00"/>
        <d v="2013-12-11T00:00:00"/>
        <d v="2015-08-20T00:00:00"/>
        <d v="2015-10-14T00:00:00"/>
        <d v="2015-10-28T00:00:00"/>
        <d v="2016-01-19T00:00:00"/>
        <d v="2016-05-19T00:00:00"/>
        <d v="2013-09-01T00:00:00"/>
        <d v="2015-06-18T00:00:00"/>
        <d v="2013-06-12T00:00:00"/>
        <d v="2013-06-26T00:00:00"/>
        <d v="2013-07-04T00:00:00"/>
        <d v="2013-07-05T00:00:00"/>
        <d v="2015-02-06T00:00:00"/>
        <d v="2015-02-14T00:00:00"/>
        <d v="2015-02-25T00:00:00"/>
        <d v="2016-09-02T00:00:00"/>
        <d v="2016-11-23T00:00:00"/>
        <d v="2017-01-18T00:00:00"/>
        <d v="2015-02-13T00:00:00"/>
        <d v="2016-01-27T00:00:00"/>
        <d v="2016-04-18T00:00:00"/>
        <d v="2016-07-12T00:00:00"/>
        <d v="2016-12-16T00:00:00"/>
        <d v="2015-01-14T00:00:00"/>
        <d v="2014-01-28T00:00:00"/>
        <d v="2014-02-13T00:00:00"/>
        <d v="2013-09-10T00:00:00"/>
        <d v="2014-02-07T00:00:00"/>
        <d v="2015-01-12T00:00:00"/>
        <d v="2016-05-26T00:00:00"/>
        <d v="2016-06-17T00:00:00"/>
        <d v="2016-08-08T00:00:00"/>
        <d v="2016-12-01T00:00:00"/>
      </sharedItems>
      <fieldGroup base="9">
        <rangePr groupBy="years" startDate="2013-01-01T00:00:00" endDate="2051-01-02T00:00:00"/>
        <groupItems count="41">
          <s v="&lt;1/1/2013"/>
          <s v="2013"/>
          <s v="2014"/>
          <s v="2015"/>
          <s v="2016"/>
          <s v="2017"/>
          <s v="2018"/>
          <s v="2019"/>
          <s v="2020"/>
          <s v="2021"/>
          <s v="2022"/>
          <s v="2023"/>
          <s v="2024"/>
          <s v="2025"/>
          <s v="2026"/>
          <s v="2027"/>
          <s v="2028"/>
          <s v="2029"/>
          <s v="2030"/>
          <s v="2031"/>
          <s v="2032"/>
          <s v="2033"/>
          <s v="2034"/>
          <s v="2035"/>
          <s v="2036"/>
          <s v="2037"/>
          <s v="2038"/>
          <s v="2039"/>
          <s v="2040"/>
          <s v="2041"/>
          <s v="2042"/>
          <s v="2043"/>
          <s v="2044"/>
          <s v="2045"/>
          <s v="2046"/>
          <s v="2047"/>
          <s v="2048"/>
          <s v="2049"/>
          <s v="2050"/>
          <s v="2051"/>
          <s v="&gt;1/2/2051"/>
        </groupItems>
      </fieldGroup>
    </cacheField>
    <cacheField name="Region" numFmtId="0">
      <sharedItems count="11">
        <s v="Sub-Saharan Africa"/>
        <s v="N/A"/>
        <s v="Oceania"/>
        <s v="Europe"/>
        <s v="Latin America"/>
        <s v="South Asia"/>
        <s v="Southeast Asia"/>
        <s v="MENA"/>
        <s v="Central Asia and Caucasus"/>
        <s v="North America"/>
        <s v="East Asia"/>
      </sharedItems>
    </cacheField>
    <cacheField name="Recipient Country" numFmtId="0">
      <sharedItems count="89">
        <s v="Nigeria"/>
        <s v="South Africa"/>
        <s v="Global "/>
        <s v="Australia"/>
        <s v="Global"/>
        <s v="Serbia"/>
        <s v="Panama"/>
        <s v="Honduras"/>
        <s v="Senegal"/>
        <s v="Nepal"/>
        <s v="Chile"/>
        <s v="Netherlands"/>
        <s v="Ireland"/>
        <s v="Germany"/>
        <s v="Philippines"/>
        <s v="El Salvador"/>
        <s v="Uruguay"/>
        <s v="United Arab Emirates"/>
        <s v="Russia"/>
        <s v="Pakistan"/>
        <s v="Indonesia"/>
        <s v="Morocco"/>
        <s v="Uzbekistan"/>
        <s v="Kyrgyz Republic"/>
        <s v="Vietnam"/>
        <s v="Zambia"/>
        <s v="Zimbabwe"/>
        <s v="Bangladesh"/>
        <s v="Bosnia and Herzegovina"/>
        <s v="Brazil"/>
        <s v="Cambodia"/>
        <s v="Colombia"/>
        <s v="Egypt"/>
        <s v="Georgia"/>
        <s v="Ghana"/>
        <s v="GREECE"/>
        <s v="KYRGYZSTAN"/>
        <s v="Malawi"/>
        <s v="Mongolia"/>
        <s v="Montenegro"/>
        <s v="Mozambique"/>
        <s v="Myanmar"/>
        <s v="ROMANIA"/>
        <s v="SUDAN"/>
        <s v="Tanzania"/>
        <s v="THAILAND"/>
        <s v="TURKEY"/>
        <s v="Ukraine"/>
        <s v="USA"/>
        <s v="KENYA"/>
        <s v="India"/>
        <s v="Kazakhstan"/>
        <s v="United Kingdom"/>
        <s v="Norway"/>
        <s v="Bolivia"/>
        <s v="Burkina Faso"/>
        <s v="Jordan"/>
        <s v="Peru"/>
        <s v="Costa Rica"/>
        <s v="South Korea"/>
        <s v="Israel"/>
        <s v="Macedonia"/>
        <s v="Croatia"/>
        <s v="Not identified"/>
        <s v="China"/>
        <s v="Kosovo"/>
        <s v="Canada"/>
        <s v="Sweden"/>
        <s v="France"/>
        <s v="Lithuania"/>
        <s v="Italy"/>
        <s v="Belgium"/>
        <s v="Dominican Republic"/>
        <s v="Malaysia"/>
        <s v="Botswana"/>
        <s v="Iceland"/>
        <s v="Mexico"/>
        <s v="South Africa &amp; Mozambique"/>
        <s v="Poland"/>
        <s v="Jamaica"/>
        <s v="Chad"/>
        <s v="Mali"/>
        <s v="Estonia"/>
        <s v="Portugal"/>
        <s v="Guatemala"/>
        <s v="Rwanda"/>
        <s v="Uganda"/>
        <s v="Nicaragua"/>
        <s v="Japan"/>
      </sharedItems>
    </cacheField>
    <cacheField name="Recipient Subregion" numFmtId="0">
      <sharedItems containsBlank="1" longText="1"/>
    </cacheField>
    <cacheField name="Notes" numFmtId="0">
      <sharedItems containsBlank="1" longText="1"/>
    </cacheField>
    <cacheField name="URL2" numFmtId="0">
      <sharedItems containsBlank="1" longText="1"/>
    </cacheField>
    <cacheField name="URL3" numFmtId="0">
      <sharedItems containsBlank="1" longText="1"/>
    </cacheField>
    <cacheField name="Sector Group" numFmtId="0">
      <sharedItems count="6">
        <s v="Coal Power Plant"/>
        <s v="Other/Unspecified"/>
        <s v="Coal Mining"/>
        <s v="Renewables"/>
        <s v="Coal Power Plant Emissions Control"/>
        <s v="T&amp;D"/>
      </sharedItems>
    </cacheField>
    <cacheField name="Sector" numFmtId="0">
      <sharedItems containsBlank="1"/>
    </cacheField>
    <cacheField name="Status" numFmtId="0">
      <sharedItems containsBlank="1"/>
    </cacheField>
    <cacheField name="Coal Power Plant Size (MW) or Share" numFmtId="0">
      <sharedItems containsString="0" containsBlank="1" containsNumber="1" minValue="0" maxValue="4000"/>
    </cacheField>
    <cacheField name="Annual Emissions (MMTCO2)" numFmtId="0">
      <sharedItems containsSemiMixedTypes="0" containsString="0" containsNumber="1" minValue="0" maxValue="4.5522909276000005"/>
    </cacheField>
    <cacheField name="Lifetime Emissions (MMTCO2)" numFmtId="0">
      <sharedItems containsSemiMixedTypes="0" containsString="0" containsNumber="1" minValue="0" maxValue="182.09163710400003"/>
    </cacheField>
    <cacheField name="Coal Mine Size (Mtpa)" numFmtId="0">
      <sharedItems containsString="0" containsBlank="1" containsNumber="1" minValue="1.2666666666666666" maxValue="18"/>
    </cacheField>
    <cacheField name="Renewable Power (MW)" numFmtId="0">
      <sharedItems containsString="0" containsBlank="1" containsNumber="1" minValue="2.8333333333333335" maxValue="850"/>
    </cacheField>
    <cacheField name="Low-Income Countr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5">
  <r>
    <x v="0"/>
    <x v="0"/>
    <s v="Multilateral"/>
    <n v="199784.4106421624"/>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0"/>
    <x v="0"/>
    <s v="Multilateral"/>
    <n v="1123787.3098621636"/>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1"/>
    <x v="1"/>
    <s v="Export Credit &amp; Insurance"/>
    <n v="21220000"/>
    <s v="Bank Support Clinets"/>
    <m/>
    <m/>
    <x v="2"/>
    <m/>
    <x v="2"/>
    <x v="1"/>
    <x v="2"/>
    <m/>
    <s v="Mining/ coking coal"/>
    <s v="http://www.efic.gov.au/media/1845/efic-annual-report-2013-2014_digital.pdf"/>
    <m/>
    <x v="2"/>
    <s v="Coal Mining "/>
    <s v="Financial Close"/>
    <m/>
    <n v="0"/>
    <n v="0"/>
    <m/>
    <m/>
    <m/>
  </r>
  <r>
    <x v="1"/>
    <x v="2"/>
    <s v="Other Public Financer"/>
    <n v="1000000000"/>
    <s v="Adani Enterprises"/>
    <m/>
    <m/>
    <x v="3"/>
    <s v="http://www.afr.com/news/politics/barnaby-joyce-backs-federal-loan-for-adani-mine-20161206-gt5mgh"/>
    <x v="3"/>
    <x v="2"/>
    <x v="3"/>
    <s v="Galilee Basin"/>
    <s v="The total value for the project is over $16,137,670,000 USD, but it is unclear whether that would be entirely provided by the State Bank of India. "/>
    <s v="http://www.afr.com/news/politics/adanis-165-billion-carmichael-mine-development-explained-20161206-gt4ryy_x000a_http://www.abc.net.au/news/2016-12-03/adani-carmichael-rail-line-closer-to-federal-loan/8089790"/>
    <m/>
    <x v="2"/>
    <s v="Coal Mining - New"/>
    <s v="Financing"/>
    <n v="0"/>
    <n v="0"/>
    <n v="0"/>
    <m/>
    <m/>
    <m/>
  </r>
  <r>
    <x v="1"/>
    <x v="1"/>
    <s v="Export Credit &amp; Insurance"/>
    <n v="36020445"/>
    <s v="Anglo Coal Australia"/>
    <m/>
    <m/>
    <x v="4"/>
    <m/>
    <x v="4"/>
    <x v="1"/>
    <x v="4"/>
    <m/>
    <s v="Support for coking coal mining"/>
    <s v="OECD data on export credit support for fossil fuel power plants and fossil fuel extraction projects, 9 October 2014"/>
    <m/>
    <x v="1"/>
    <s v="Coal - Policy"/>
    <s v="Financial Close"/>
    <m/>
    <n v="0"/>
    <n v="0"/>
    <m/>
    <m/>
    <m/>
  </r>
  <r>
    <x v="1"/>
    <x v="1"/>
    <s v="Export Credit &amp; Insurance"/>
    <n v="26781000"/>
    <s v="NRW Holdings Ltd"/>
    <m/>
    <m/>
    <x v="5"/>
    <m/>
    <x v="4"/>
    <x v="1"/>
    <x v="4"/>
    <m/>
    <s v="Mining / construction services_x000a_EFIC RESPONSE: Multiple references to NRW are incorrectly allocated to coal mining.  The bonding lines provided in each instance were in relation to iron ore mining operations"/>
    <s v="OECD data on export credit support for fossil fuel power plants and fossil fuel extraction projects, 9 October 2014"/>
    <m/>
    <x v="1"/>
    <s v="Coal - Policy"/>
    <s v="Financial Close"/>
    <m/>
    <n v="0"/>
    <n v="0"/>
    <m/>
    <m/>
    <m/>
  </r>
  <r>
    <x v="1"/>
    <x v="1"/>
    <s v="Export Credit &amp; Insurance"/>
    <n v="35261650"/>
    <s v="Xstrata Coal Queensland"/>
    <m/>
    <m/>
    <x v="6"/>
    <m/>
    <x v="4"/>
    <x v="1"/>
    <x v="4"/>
    <m/>
    <s v="Coking coal mining"/>
    <s v="OECD data on export credit support for fossil fuel power plants and fossil fuel extraction projects, 9 October 2014"/>
    <m/>
    <x v="1"/>
    <s v="Coal - Policy"/>
    <s v="Financial Close"/>
    <m/>
    <n v="0"/>
    <n v="0"/>
    <m/>
    <m/>
    <m/>
  </r>
  <r>
    <x v="1"/>
    <x v="3"/>
    <s v="Multilateral"/>
    <n v="2023013.8552251642"/>
    <s v="EPS"/>
    <m/>
    <m/>
    <x v="7"/>
    <s v="http://www.ebrd.com/work-with-us/projects/psd/eps-restructuring.html"/>
    <x v="5"/>
    <x v="3"/>
    <x v="5"/>
    <m/>
    <s v="Financing for restructing of Serbian state-owned utility EPS, which is lignite-heavy and maintains plans for significant lignite expansion. _x000a__x000a_While not exclusively for coal, this investment is included because of EPS lignite expansion plans and lack of prior EBRD investments in EPS resulting in observable changes in supply mix or capacity addition plans."/>
    <s v="http://www.ebrd.com/news/2015/ebrd-supports-reform-of-serbias-power-sector-with-200-million-loan-to-eps.html_x000a_http://bankwatch.org/publications/issues-serbian-electricity-company-eps-need-be-addressed-within - New-ebrd-loan_x000a_http://bankwatch.org/bwmail/62/ebrd-digs-deeper-serbian-coal-king"/>
    <m/>
    <x v="1"/>
    <s v="Other"/>
    <s v="Financial Close"/>
    <m/>
    <n v="0"/>
    <n v="0"/>
    <m/>
    <m/>
    <m/>
  </r>
  <r>
    <x v="1"/>
    <x v="4"/>
    <s v="Other Public Financer"/>
    <n v="33580000"/>
    <m/>
    <m/>
    <m/>
    <x v="8"/>
    <s v="https://ijglobal.com/data/transaction/27919/taralga-wind-farm-financing-1068mw"/>
    <x v="6"/>
    <x v="2"/>
    <x v="3"/>
    <s v="New South Wales"/>
    <m/>
    <m/>
    <m/>
    <x v="3"/>
    <s v="Onshore Wind"/>
    <s v="Financial Close"/>
    <n v="106.8"/>
    <n v="0.12154616776692"/>
    <n v="4.8618467106768"/>
    <m/>
    <n v="106.8"/>
    <m/>
  </r>
  <r>
    <x v="1"/>
    <x v="4"/>
    <s v="Other Public Financer"/>
    <n v="48360000"/>
    <m/>
    <m/>
    <m/>
    <x v="9"/>
    <s v="https://ijglobal.com/data/transaction/19527/ararat-wind-farm-240mw"/>
    <x v="7"/>
    <x v="2"/>
    <x v="3"/>
    <s v="Victoria"/>
    <m/>
    <m/>
    <m/>
    <x v="3"/>
    <s v="Offshore Wind"/>
    <s v="Financial Close"/>
    <n v="120"/>
    <n v="0.13656872782800003"/>
    <n v="5.462749113120001"/>
    <m/>
    <n v="120"/>
    <m/>
  </r>
  <r>
    <x v="2"/>
    <x v="5"/>
    <s v="Other Public Financer"/>
    <n v="25000000"/>
    <m/>
    <m/>
    <m/>
    <x v="10"/>
    <s v="https://ijglobal.com/data/transaction/28135/penonome-ii-wind-farm-215mw"/>
    <x v="8"/>
    <x v="4"/>
    <x v="6"/>
    <m/>
    <m/>
    <m/>
    <m/>
    <x v="3"/>
    <s v="Onshore Wind"/>
    <s v="Financial Close"/>
    <n v="53.75"/>
    <n v="6.1171409339624998E-2"/>
    <n v="2.4468563735849997"/>
    <m/>
    <n v="53.75"/>
    <m/>
  </r>
  <r>
    <x v="2"/>
    <x v="5"/>
    <s v="Other Public Financer"/>
    <n v="25000000"/>
    <m/>
    <m/>
    <m/>
    <x v="11"/>
    <s v="https://ijglobal.com/data/transaction/31794/valle-solar-pv-plant-70mw"/>
    <x v="9"/>
    <x v="4"/>
    <x v="7"/>
    <m/>
    <m/>
    <m/>
    <m/>
    <x v="3"/>
    <s v="Photovoltaic Solar"/>
    <s v="Financial Close"/>
    <n v="70"/>
    <n v="7.9665091233000015E-2"/>
    <n v="3.1866036493200007"/>
    <m/>
    <n v="70"/>
    <m/>
  </r>
  <r>
    <x v="3"/>
    <x v="6"/>
    <s v="Other Public Financer"/>
    <n v="18560000"/>
    <m/>
    <m/>
    <m/>
    <x v="12"/>
    <s v="https://ijglobal.com/data/transaction/37121/ten-merina-solar-pv-plant-30mw"/>
    <x v="10"/>
    <x v="0"/>
    <x v="8"/>
    <m/>
    <m/>
    <m/>
    <m/>
    <x v="3"/>
    <s v="Photovoltaic Solar"/>
    <s v="Financial Close"/>
    <n v="15"/>
    <n v="1.7071090978500004E-2"/>
    <n v="0.68284363914000012"/>
    <m/>
    <n v="15"/>
    <m/>
  </r>
  <r>
    <x v="3"/>
    <x v="6"/>
    <s v="Other Public Financer"/>
    <n v="17800000"/>
    <m/>
    <m/>
    <m/>
    <x v="13"/>
    <s v="https://ijglobal.com/data/transaction/32297/lower-solu-hydropower-ipp-82mw"/>
    <x v="3"/>
    <x v="5"/>
    <x v="9"/>
    <m/>
    <m/>
    <m/>
    <m/>
    <x v="3"/>
    <s v="Small Hydro"/>
    <s v="Financing"/>
    <n v="27.333333333333332"/>
    <n v="3.1107321338600002E-2"/>
    <n v="1.2442928535440001"/>
    <m/>
    <n v="27.333333333333332"/>
    <m/>
  </r>
  <r>
    <x v="4"/>
    <x v="0"/>
    <s v="Multilateral"/>
    <n v="753544.074194349"/>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4"/>
    <x v="0"/>
    <s v="Multilateral"/>
    <n v="4238685.4173432132"/>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5"/>
    <x v="0"/>
    <s v="Multilateral"/>
    <n v="7613199.8473834787"/>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5"/>
    <x v="3"/>
    <s v="Multilateral"/>
    <n v="6878341.471042607"/>
    <s v="EPS"/>
    <m/>
    <m/>
    <x v="7"/>
    <s v="http://www.ebrd.com/work-with-us/projects/psd/eps-restructuring.html"/>
    <x v="5"/>
    <x v="3"/>
    <x v="5"/>
    <m/>
    <s v="Financing for restructing of Serbian state-owned utility EPS, which is lignite-heavy and maintains plans for significant lignite expansion. _x000a__x000a_While not exclusively for coal, this investment is included because of EPS lignite expansion plans and lack of prior EBRD investments in EPS resulting in observable changes in supply mix or capacity addition plans."/>
    <s v="http://www.ebrd.com/news/2015/ebrd-supports-reform-of-serbias-power-sector-with-200-million-loan-to-eps.html_x000a_http://bankwatch.org/publications/issues-serbian-electricity-company-eps-need-be-addressed-within - New-ebrd-loan_x000a_http://bankwatch.org/bwmail/62/ebrd-digs-deeper-serbian-coal-king"/>
    <m/>
    <x v="1"/>
    <s v="Other"/>
    <s v="Financial Close"/>
    <m/>
    <n v="0"/>
    <n v="0"/>
    <m/>
    <m/>
    <m/>
  </r>
  <r>
    <x v="5"/>
    <x v="0"/>
    <s v="Multilateral"/>
    <n v="42824249.141532063"/>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5"/>
    <x v="7"/>
    <s v="Other Public Financer"/>
    <n v="20700000"/>
    <m/>
    <m/>
    <m/>
    <x v="14"/>
    <s v="https://ijglobal.com/data/transaction/27761/pozo-almonte-and-calama-solar-financing-261mw"/>
    <x v="11"/>
    <x v="4"/>
    <x v="10"/>
    <m/>
    <m/>
    <m/>
    <m/>
    <x v="3"/>
    <s v="Photovoltaic Solar"/>
    <s v="Financial Close"/>
    <n v="13.05"/>
    <n v="1.4851849151294999E-2"/>
    <n v="0.59407396605179996"/>
    <m/>
    <n v="13.05"/>
    <m/>
  </r>
  <r>
    <x v="5"/>
    <x v="8"/>
    <s v="Export Credit &amp; Insurance "/>
    <n v="123400000"/>
    <m/>
    <m/>
    <m/>
    <x v="15"/>
    <s v="https://ijglobal.com/data/transaction/28178/gemini-offshore-wind-farm-600mw"/>
    <x v="12"/>
    <x v="3"/>
    <x v="11"/>
    <m/>
    <m/>
    <m/>
    <m/>
    <x v="3"/>
    <s v="Offshore Wind"/>
    <s v="Financial Close"/>
    <n v="200"/>
    <n v="0.22761454638"/>
    <n v="9.1045818551999993"/>
    <m/>
    <n v="200"/>
    <m/>
  </r>
  <r>
    <x v="5"/>
    <x v="8"/>
    <s v="Export Credit &amp; Insurance "/>
    <n v="53180000"/>
    <m/>
    <m/>
    <m/>
    <x v="16"/>
    <s v="https://ijglobal.com/data/transaction/32332/bord-gais-wind-farm-portfolio-acquistion-2014"/>
    <x v="13"/>
    <x v="3"/>
    <x v="12"/>
    <m/>
    <m/>
    <m/>
    <m/>
    <x v="3"/>
    <s v="Onshore Wind"/>
    <s v="Financial Close"/>
    <m/>
    <n v="0"/>
    <n v="0"/>
    <m/>
    <m/>
    <m/>
  </r>
  <r>
    <x v="5"/>
    <x v="8"/>
    <s v="Export Credit &amp; Insurance "/>
    <n v="89150000"/>
    <m/>
    <m/>
    <m/>
    <x v="17"/>
    <s v="https://ijglobal.com/data/transaction/32493/nordsee-one-offshore-wind-farm-332mw"/>
    <x v="14"/>
    <x v="3"/>
    <x v="13"/>
    <m/>
    <m/>
    <m/>
    <m/>
    <x v="3"/>
    <s v="Offshore Wind"/>
    <s v="Financial Close"/>
    <n v="166"/>
    <n v="0.18892007349539999"/>
    <n v="7.5568029398159995"/>
    <m/>
    <n v="166"/>
    <m/>
  </r>
  <r>
    <x v="5"/>
    <x v="8"/>
    <s v="Export Credit &amp; Insurance "/>
    <n v="6720000"/>
    <m/>
    <m/>
    <m/>
    <x v="17"/>
    <s v="https://ijglobal.com/data/transaction/32493/nordsee-one-offshore-wind-farm-332mw"/>
    <x v="14"/>
    <x v="3"/>
    <x v="13"/>
    <m/>
    <m/>
    <m/>
    <m/>
    <x v="3"/>
    <s v="Offshore Wind"/>
    <s v="Financial Close"/>
    <n v="166"/>
    <n v="0.18892007349539999"/>
    <n v="7.5568029398159995"/>
    <m/>
    <n v="166"/>
    <m/>
  </r>
  <r>
    <x v="5"/>
    <x v="8"/>
    <s v="Export Credit &amp; Insurance "/>
    <n v="64239999.999999993"/>
    <m/>
    <m/>
    <m/>
    <x v="9"/>
    <s v="https://ijglobal.com/data/transaction/19527/ararat-wind-farm-240mw"/>
    <x v="7"/>
    <x v="2"/>
    <x v="3"/>
    <s v="Victoria"/>
    <m/>
    <m/>
    <m/>
    <x v="3"/>
    <s v="Offshore Wind"/>
    <s v="Financial Close"/>
    <n v="120"/>
    <n v="0.13656872782800003"/>
    <n v="5.462749113120001"/>
    <m/>
    <n v="120"/>
    <m/>
  </r>
  <r>
    <x v="5"/>
    <x v="9"/>
    <s v="Other Public Financer"/>
    <n v="53670000"/>
    <m/>
    <m/>
    <m/>
    <x v="18"/>
    <s v="https://ijglobal.com/data/transaction/36531/negros-occidental-biomass-power-plants-70mw"/>
    <x v="15"/>
    <x v="6"/>
    <x v="14"/>
    <m/>
    <m/>
    <m/>
    <m/>
    <x v="3"/>
    <s v="Biomass"/>
    <s v="Financial Close"/>
    <n v="23.333333333333332"/>
    <n v="2.6555030411000002E-2"/>
    <n v="1.0622012164400001"/>
    <m/>
    <n v="23.333333333333332"/>
    <m/>
  </r>
  <r>
    <x v="5"/>
    <x v="8"/>
    <s v="Export Credit &amp; Insurance "/>
    <n v="29610000"/>
    <m/>
    <m/>
    <m/>
    <x v="19"/>
    <s v="https://ijglobal.com/data/transaction/37234/seegronan-and-crockandun-wind-farms-291mw"/>
    <x v="16"/>
    <x v="3"/>
    <x v="12"/>
    <m/>
    <m/>
    <m/>
    <m/>
    <x v="3"/>
    <s v="Onshore Wind"/>
    <s v="Financial Close"/>
    <n v="29.1"/>
    <n v="3.3117916498290004E-2"/>
    <n v="1.3247166599316"/>
    <m/>
    <n v="29.1"/>
    <m/>
  </r>
  <r>
    <x v="5"/>
    <x v="7"/>
    <s v="Other Public Financer"/>
    <n v="30000000"/>
    <m/>
    <m/>
    <m/>
    <x v="20"/>
    <s v="https://ijglobal.com/data/transaction/35250/providencia-solar-pv-plant-100mw"/>
    <x v="17"/>
    <x v="4"/>
    <x v="15"/>
    <m/>
    <m/>
    <m/>
    <m/>
    <x v="3"/>
    <s v="Photovoltaic Solar"/>
    <s v="Financial Close"/>
    <n v="100"/>
    <n v="0.11380727319"/>
    <n v="4.5522909275999996"/>
    <m/>
    <n v="100"/>
    <m/>
  </r>
  <r>
    <x v="5"/>
    <x v="7"/>
    <s v="Other Public Financer"/>
    <n v="10000000"/>
    <m/>
    <m/>
    <m/>
    <x v="21"/>
    <s v="https://ijglobal.com/data/transaction/34353/sky-solars-uruguay-pv-portfolio-699mw"/>
    <x v="18"/>
    <x v="4"/>
    <x v="16"/>
    <m/>
    <m/>
    <m/>
    <m/>
    <x v="3"/>
    <s v="Photovoltaic Solar"/>
    <s v="Financial Close"/>
    <n v="34.950000000000003"/>
    <n v="3.9775641979905012E-2"/>
    <n v="1.5910256791962005"/>
    <m/>
    <n v="34.950000000000003"/>
    <m/>
  </r>
  <r>
    <x v="5"/>
    <x v="10"/>
    <s v="Export Credit &amp; Insurance"/>
    <n v="72000000"/>
    <m/>
    <m/>
    <m/>
    <x v="22"/>
    <s v="https://ijglobal.com/data/transaction/33723/mohammed-bin-rashid-al-maktoum-solar-pv-phase-iii-800mw-ppp"/>
    <x v="19"/>
    <x v="7"/>
    <x v="17"/>
    <s v="Seih Al-Dilal"/>
    <m/>
    <s v="https://ijglobal.com/articles/106791/debt-terms-revealed-as-masdar-edf-close-on-dubai-pv"/>
    <m/>
    <x v="3"/>
    <s v="Photovoltaic Solar"/>
    <s v="Financial Close"/>
    <m/>
    <n v="0"/>
    <n v="0"/>
    <m/>
    <n v="400"/>
    <m/>
  </r>
  <r>
    <x v="6"/>
    <x v="11"/>
    <s v="Other Public Financer"/>
    <n v="2000000000"/>
    <s v=" _x000a_En+ Group and Shenhua Group"/>
    <m/>
    <m/>
    <x v="23"/>
    <s v="http://www.platts.com/latest-news/coal/moscow/russian-en-china-development-bank-chinese-shenhua-7656113 http://news.guidechem.com/2013/03/25/17655.html http://www.reuters.com/article/2013/03/22/russia-china-coal-idUSL6N0CE0JX20130322 http://www.basel.ru/en/articles/enplus_11_12_13 http://www.brookings.edu/blogs/up-front/posts/2013/04/01-china-russia-energy-relations-downs https://ijglobal.com/articles/83858/east-russian-coal-deal-signed-with-chinese-giants"/>
    <x v="20"/>
    <x v="8"/>
    <x v="18"/>
    <m/>
    <m/>
    <m/>
    <m/>
    <x v="2"/>
    <s v="Coal - mining"/>
    <s v="Financial Close"/>
    <m/>
    <n v="0"/>
    <n v="0"/>
    <m/>
    <m/>
    <m/>
  </r>
  <r>
    <x v="6"/>
    <x v="11"/>
    <s v="Other Public Financer"/>
    <n v="66660000"/>
    <s v="Government of Sindh (54.7%), Engro Powergen Limited (11.9%), Thal Limited (11.9%), Habib Bank Limited (9.5%), Hub Power Company Ltd (8.0%), China Machinery Engineering Corporation (4.0%); "/>
    <m/>
    <m/>
    <x v="24"/>
    <s v="https://ijglobal.com/data/transaction/36329/thar-coal-block-ii-mine"/>
    <x v="21"/>
    <x v="5"/>
    <x v="19"/>
    <m/>
    <s v="Under construction"/>
    <s v="http://nation.com.pk/national/28-Jan-2017/certain-issues-need-to-be-streamlined"/>
    <m/>
    <x v="2"/>
    <s v="Coal Mining"/>
    <s v="Financial Close"/>
    <n v="0"/>
    <n v="0"/>
    <n v="0"/>
    <n v="1.2666666666666666"/>
    <m/>
    <m/>
  </r>
  <r>
    <x v="6"/>
    <x v="11"/>
    <s v="Other Public Financer"/>
    <n v="318000000"/>
    <s v="Sinar Mas Group, PT DIAN SWASTATIKA SENTOSA TBK"/>
    <s v="SEPCC3"/>
    <m/>
    <x v="25"/>
    <s v="http://mediaprofesi.com/industri/2136-pt-dssp-power-sumsel-pltu-ipp-sumsel-5-siap-beroperasi-tahun-2015.html"/>
    <x v="22"/>
    <x v="6"/>
    <x v="20"/>
    <s v="South Sumatra"/>
    <m/>
    <s v="http://news.xinhuanet.com/world/2012-12/04/c_113907348.htm; _x000a_http://climatepolicyinitiative.org/wp-content/uploads/2015/11/Slowing-the-Growth-of-Coal-Power-Outside-China.pdf"/>
    <s v="http://www.sourcewatch.org/index.php/Sumsel-5_power_station"/>
    <x v="0"/>
    <s v="Coal Power Plant - New"/>
    <s v="Financial Close"/>
    <n v="300"/>
    <n v="0.34142181957000001"/>
    <n v="13.656872782800001"/>
    <m/>
    <m/>
    <m/>
  </r>
  <r>
    <x v="6"/>
    <x v="12"/>
    <s v="Export Credit &amp; Insurance"/>
    <n v="360000000"/>
    <s v="Sepco III"/>
    <m/>
    <m/>
    <x v="26"/>
    <s v="http://news.xinhuanet.com/english/africa/2013-07/26/c_132577824.htm"/>
    <x v="23"/>
    <x v="7"/>
    <x v="21"/>
    <m/>
    <m/>
    <s v="http://news.xinhuanet.com/english/africa/2013-07/26/c_132577824.htm"/>
    <m/>
    <x v="0"/>
    <s v="Coal Power Plant - New"/>
    <s v="Financial Close"/>
    <n v="318"/>
    <n v="0.3619071287442"/>
    <n v="14.476285149768"/>
    <m/>
    <m/>
    <m/>
  </r>
  <r>
    <x v="6"/>
    <x v="12"/>
    <s v="Export Credit &amp; Insurance"/>
    <n v="165600000"/>
    <s v="UZBEKENERGO"/>
    <s v="HPCC1"/>
    <s v="HARBIN"/>
    <x v="27"/>
    <s v="http://www.uzdaily.com/articles-id-23620.htm"/>
    <x v="24"/>
    <x v="8"/>
    <x v="22"/>
    <s v="Tashkent"/>
    <m/>
    <s v="http://www.sourcewatch.org/index.php/International_Chinese_coal_projects#Maheshkhali_power_station_.28Huadian.29 http://www.pp.u-tokyo.ac.jp/research/dp/documents/GraSPP-DP-E-14-003-SOM.pdf http://easttime.info/news/china/export-import-bank-china-deliver-165-million-uzbekistan http://easttime.info/news/china/export-import-bank-china-deliver-165-million-uzbekistan http://www.investor.uz/?p=802 http://en.trend.az/business/economy/2188862.html "/>
    <m/>
    <x v="0"/>
    <s v="Coal power plant - expansion"/>
    <s v="Financial Close"/>
    <n v="150"/>
    <n v="0.170710909785"/>
    <n v="6.8284363914000004"/>
    <m/>
    <m/>
    <m/>
  </r>
  <r>
    <x v="6"/>
    <x v="12"/>
    <s v="Export Credit &amp; Insurance"/>
    <n v="386000000"/>
    <s v="Bishkek CHP power station"/>
    <m/>
    <m/>
    <x v="28"/>
    <s v="http://www.sourcewatch.org/index.php/Bishkek_power_station"/>
    <x v="25"/>
    <x v="8"/>
    <x v="23"/>
    <m/>
    <s v="Power China"/>
    <s v="http://www.powerchina.cn/art/2016/7/21/art_23_178043.html"/>
    <m/>
    <x v="0"/>
    <s v="Coal power plant - expansion"/>
    <s v="Financial Close"/>
    <n v="300"/>
    <n v="0.34142181957000001"/>
    <n v="13.656872782800001"/>
    <m/>
    <m/>
    <m/>
  </r>
  <r>
    <x v="6"/>
    <x v="11"/>
    <s v="Other Public Financer"/>
    <n v="27892857.142857142"/>
    <s v="Not identified"/>
    <m/>
    <m/>
    <x v="29"/>
    <s v="http://vietnamnews.vn/economy/248733/thermal-power-project-warms-up.html"/>
    <x v="26"/>
    <x v="6"/>
    <x v="24"/>
    <s v="Thai Binh"/>
    <s v="&quot;The loan agreements include a $330 million direct loan with KEXIM, $270 million KEXIM guaranteed loan with the Bank of Tokyo-Mitsubishi UFJ, Ltd (BTMU), CITI bank, HSBC bank, Mizuho bank, Standard Chartered Bank (SCB), and Oversea Chinese Banking Corporation (OCBC), along with a $195.25 million commercial loan with BTMU, China Development Bank (CDB), CITI bank, HSBC, Mizuho, OCBC and SCB&quot; -- see: http://vietnamnews.vn/economy/248733/thermal-power-project-warms-up.html  We have applied the split the &quot;commercial loan&quot; between the 7 listed institutions. ; For plant size see: http://www.aurecongroup.com/en/projects/resources/vinh-tan-2-coal-fired-power-plant.aspx"/>
    <m/>
    <m/>
    <x v="0"/>
    <s v="Coal Power Plant - New"/>
    <s v="Financial Close"/>
    <n v="1200"/>
    <n v="1.36568727828"/>
    <n v="54.627491131200003"/>
    <m/>
    <m/>
    <m/>
  </r>
  <r>
    <x v="6"/>
    <x v="12"/>
    <s v="Export Credit &amp; Insurance"/>
    <n v="300000000"/>
    <s v="Office National de l’Electricité"/>
    <m/>
    <m/>
    <x v="30"/>
    <m/>
    <x v="27"/>
    <x v="7"/>
    <x v="21"/>
    <m/>
    <m/>
    <s v="http://www.sourcewatch.org/index.php/Jerada_power_station_x000a_http://climatepolicyinitiative.org/wp-content/uploads/2015/11/Slowing-the-Growth-of-Coal-Power-Outside-China.pdf"/>
    <m/>
    <x v="0"/>
    <s v="Coal Power Plant - Existing"/>
    <s v="Financial Close"/>
    <n v="318"/>
    <n v="0.3619071287442"/>
    <n v="14.476285149768"/>
    <m/>
    <m/>
    <m/>
  </r>
  <r>
    <x v="6"/>
    <x v="12"/>
    <s v="Export Credit &amp; Insurance"/>
    <n v="608260000"/>
    <s v="Serbian Ministry of Energy, Development and Environmental Protection"/>
    <m/>
    <m/>
    <x v="31"/>
    <s v="http://uk.reuters.com/article/2014/12/14/serbia-energy-china-idUKL6N0TY0MD20141214 "/>
    <x v="28"/>
    <x v="3"/>
    <x v="5"/>
    <m/>
    <s v="Note - additional to Kostolac 2/3 project approved in 2012_x000a_China Machinery Engineering Corporation"/>
    <s v="http://www.sourcewatch.org/index.php/OPM_Kostolac http://cpmconsulting.rs/eng/government-adopts-legal-framework-project-kostolac-b3 http://www.bloomberg.com/news/articles/2013-11-20/serbs-sign-716-million-coal-plant-mine-deal-with-cmec http://www.rts.rs/page/stories/sr/story/13/Ekonomija/1413586/Nikoli%C4%87+sa+kineskom+delegacijom.html (see pp. 7-8) http://www.bloomberg.com/news/articles/2012-09-27/serbia-will-seek-chinese-funding-to-expand-kostolac-power-plant http://www.pp.u-tokyo.ac.jp/research/dp/documents/GraSPP-DP-E-14-003-SOM.pdf http://www.sourcewatch.org/index.php/TPP_Kostolac_Power_Station http://www.reuters.com/article/2013/11/05/serbia-energy-china-idUSL5N0IQ3PF20131105 _x000a_https://en.wikipedia.org/wiki/TPP_Kostolac_B3 http://www.tradefinancemagazine.com/Article/3275764/Sectors/23007/China-Ex-Im-to-fund-1-billion-Serbian-coal-plant.html_x000a_http://bankwatch.org/our-work/projects/kostolac-lignite-power-plant-serbia"/>
    <m/>
    <x v="0"/>
    <s v="Coal power plant - expansion"/>
    <s v="Financial Close"/>
    <n v="350"/>
    <n v="0.39832545616499998"/>
    <n v="15.9330182466"/>
    <m/>
    <m/>
    <m/>
  </r>
  <r>
    <x v="6"/>
    <x v="12"/>
    <s v="Export Credit &amp; Insurance"/>
    <n v="373009532"/>
    <s v="Indonesian State Electricity Company"/>
    <m/>
    <m/>
    <x v="32"/>
    <s v="http://china.aiddata.org/projects/39372 http://www.sourcewatch.org/index.php/Pangkalan_Susu_power_station http://www.djppr.kemenkeu.go.id/page/load/1177"/>
    <x v="29"/>
    <x v="6"/>
    <x v="20"/>
    <m/>
    <s v="Sinohydro"/>
    <s v="http://static.sse.com.cn/disclosure/listedinfo/announcement/c/2015-08-20/601669_20150820_1.pdf"/>
    <m/>
    <x v="0"/>
    <s v="Coal power plant - new "/>
    <s v="Financial Close"/>
    <n v="400"/>
    <n v="0.45522909276000001"/>
    <n v="18.209163710399999"/>
    <m/>
    <m/>
    <m/>
  </r>
  <r>
    <x v="6"/>
    <x v="12"/>
    <s v="Export Credit &amp; Insurance"/>
    <n v="240983000"/>
    <s v="Indonesian State Electricity Company"/>
    <m/>
    <m/>
    <x v="33"/>
    <s v="http://china.aiddata.org/projects/39373 _x000a_http://www.bappenas.go.id/files/4314/1387/1046/drppln-2014.pdf http://www.pln.co.id/eng/?p=3165 _x000a_http://www.chinadaily.com.cn/m/gezhouba/2015-05/12/content_20698093.htm http://www.djppr.kemenkeu.go.id/page/load/1177"/>
    <x v="29"/>
    <x v="6"/>
    <x v="20"/>
    <m/>
    <m/>
    <m/>
    <m/>
    <x v="0"/>
    <s v="Coal power plant - new "/>
    <s v="Financial Close"/>
    <n v="200"/>
    <n v="0.22761454638"/>
    <n v="9.1045818551999993"/>
    <m/>
    <m/>
    <m/>
  </r>
  <r>
    <x v="6"/>
    <x v="12"/>
    <s v="Export Credit &amp; Insurance"/>
    <n v="234000000"/>
    <s v="China Power International Development Limited Company, Power Corporation (Vietnam National Coal-Natural Industries Corporation)"/>
    <s v="CHINA SOUTHERN POWER GRID CO"/>
    <m/>
    <x v="34"/>
    <s v="https://ijglobal.com/data/transaction/33000/1200mw-vinh-tan-1-coal-fired-thermal-power-plant"/>
    <x v="30"/>
    <x v="6"/>
    <x v="24"/>
    <s v="Binh Thuan"/>
    <s v="Total plant size 1200MW, equally divided among 6 financers: CDB, China Construction Bank, ICBC, Bank of China, China Exim, and Sinosure.   "/>
    <m/>
    <m/>
    <x v="0"/>
    <s v="Coal Power Plant - New"/>
    <s v="Financial Close"/>
    <n v="200"/>
    <n v="0.22761454638"/>
    <n v="9.1045818551999993"/>
    <m/>
    <m/>
    <m/>
  </r>
  <r>
    <x v="6"/>
    <x v="13"/>
    <s v="Export Credit &amp; Insurance"/>
    <n v="234000000"/>
    <s v="China Power International Development Limited Company, Power Corporation (Vietnam National Coal-Natural Industries Corporation)"/>
    <s v="CHINA SOUTHERN POWER GRID CO"/>
    <m/>
    <x v="34"/>
    <s v="https://ijglobal.com/data/transaction/33000/1200mw-vinh-tan-1-coal-fired-thermal-power-plant"/>
    <x v="30"/>
    <x v="6"/>
    <x v="24"/>
    <s v="Binh Thuan"/>
    <s v="Total plant size 1200MW, equally divided among 6 financers: CDB, China Construction Bank, ICBC, Bank of China, China Exim, and Sinosure.   "/>
    <m/>
    <m/>
    <x v="0"/>
    <s v="Coal Power Plant - New"/>
    <s v="Financial Close"/>
    <n v="200"/>
    <n v="0.22761454638"/>
    <n v="9.1045818551999993"/>
    <m/>
    <m/>
    <m/>
  </r>
  <r>
    <x v="6"/>
    <x v="11"/>
    <s v="Other Public Financer"/>
    <n v="234000000"/>
    <s v="China Power International Development Limited Company, Power Corporation (Vietnam National Coal-Natural Industries Corporation)"/>
    <s v="CHINA SOUTHERN POWER GRID CO"/>
    <m/>
    <x v="34"/>
    <s v="https://ijglobal.com/data/transaction/33000/1200mw-vinh-tan-1-coal-fired-thermal-power-plant"/>
    <x v="30"/>
    <x v="6"/>
    <x v="24"/>
    <s v="Binh Thuan"/>
    <s v="Total plant size 1200MW, equally divided among 6 financers: CDB, China Construction Bank, ICBC, Bank of China, China Exim, and Sinosure.   "/>
    <m/>
    <m/>
    <x v="0"/>
    <s v="Coal Power Plant - New"/>
    <s v="Financial Close"/>
    <n v="200"/>
    <n v="0.22761454638"/>
    <n v="9.1045818551999993"/>
    <m/>
    <m/>
    <m/>
  </r>
  <r>
    <x v="6"/>
    <x v="11"/>
    <s v="Other Public Financer"/>
    <n v="150000000"/>
    <s v="Sinar Mas Group"/>
    <m/>
    <m/>
    <x v="35"/>
    <s v="http://jakartaglobe.beritasatu.com/business/sinar-mas-energy-holding-pushes-ahead-coal-fired-power-plants/_x000a_"/>
    <x v="31"/>
    <x v="6"/>
    <x v="20"/>
    <s v="Tanjung Tiram, South Konawe, Southeast Sulawesi"/>
    <m/>
    <s v="http://economictimes.indiatimes.com/news/international/business/indonesias-sinarmas-to-invest-600-700-million-in-2-coal-plants-sources/articleshow/46983781.cms http://www.reuters.com/article/2015/04/20/indonesia-wef-sinarmas-idUSL4N0XH09620150420 http://thejakartaglobe.beritasatu.com/business/sinar-mas-inks-loan-deal-chinese-banks_x000a_http://www.sourcewatch.org/index.php/Sinar_Mas_Jambi_power_station"/>
    <s v="http://jakartaglobe.id/business/sinar-mas-energy-holding-pushes-ahead-coal-fired-power-plants/"/>
    <x v="0"/>
    <s v="Coal power plant - new "/>
    <s v="Financial Close"/>
    <n v="400"/>
    <n v="0.45522909276000001"/>
    <n v="18.209163710399999"/>
    <m/>
    <m/>
    <m/>
  </r>
  <r>
    <x v="6"/>
    <x v="0"/>
    <s v="Multilateral"/>
    <n v="2295545.1039854395"/>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6"/>
    <x v="12"/>
    <s v="Export Credit &amp; Insurance"/>
    <n v="1200000000"/>
    <s v="Bukit Asam and China Huadian Corporation Power Operation Company"/>
    <s v="CHEC"/>
    <s v="DONGFANG"/>
    <x v="36"/>
    <s v="https://ijglobal.com/data/transaction/33665/tanjung-enim-coal-fired-mine-mouth-power-plant-1240mw"/>
    <x v="32"/>
    <x v="6"/>
    <x v="20"/>
    <m/>
    <m/>
    <s v="http://www.eximbank.gov.cn/tm/Newdetails/index.aspx?nodeid=343&amp;page=ContentPage&amp;categoryid=0&amp;contentid=27175"/>
    <s v="http://www.4-traders.com/PT-TAMBANG-BATUBARA-BUKIT-6496448/news/PT-Tambang-Batubara-Bukit-Asam-Tbk-PTBA-Journey-2015-21907169/?iCStream=1_x000a_http://www.sourcewatch.org/index.php/International_Chinese_coal_projects"/>
    <x v="0"/>
    <s v="Coal Power Plant - New"/>
    <s v="Financial Close"/>
    <n v="1320"/>
    <n v="1.5022560061080001"/>
    <n v="60.090240244320007"/>
    <m/>
    <m/>
    <m/>
  </r>
  <r>
    <x v="6"/>
    <x v="12"/>
    <s v="Export Credit &amp; Insurance"/>
    <n v="330000000"/>
    <s v="Indonesia Guang Ching Nickel &amp; Stainless Steel Industry/_x000a_Guangdong Guangxin Holdings Group"/>
    <m/>
    <m/>
    <x v="37"/>
    <s v="https://tradefinanceanalytics.com/uploads/TF%20Awards%20Pages.pdf"/>
    <x v="33"/>
    <x v="6"/>
    <x v="20"/>
    <m/>
    <s v="The deal backs a smelter with eight production lines and a 300MW captive coal-fired power plant project in the Indonesia Morowali Industrial Park (IMIP) – an industrial complex jointly invested in and founded by Shanghai Decent Investment (an affiliate of Tsingshan Steel_x000a_holding (66.25%)) and PT Bintangdelapan Group (33.75%)._x000a_The smelter deal was heavily backed by China Exim as direct lender along with Bank of China and ICBC. _x000a_* Close date unclear so labeled as Dec 31st"/>
    <m/>
    <m/>
    <x v="0"/>
    <s v="Coal Power Plant - New"/>
    <s v="Financial Close"/>
    <m/>
    <n v="0"/>
    <n v="0"/>
    <m/>
    <m/>
    <m/>
  </r>
  <r>
    <x v="6"/>
    <x v="13"/>
    <s v="Export Credit &amp; Insurance"/>
    <n v="365000000"/>
    <s v="Nava Bharat and ZCCM"/>
    <s v="SEPCO2"/>
    <s v="DONGFANG"/>
    <x v="38"/>
    <s v="https://ijglobal.com/data/transaction/32254/maamba-coal-fired-power-plant-phase-i-300mw"/>
    <x v="34"/>
    <x v="0"/>
    <x v="25"/>
    <m/>
    <s v="This is phase one of two. _x000a_The deal is Sinosure’s first project financing in Sub-Saharan Africa. Until now, Sinosure and Chinese state_x000a_entities have typically dealt directly with sovereign entities. The loan is also one of the first African financings for Bank of China and Industrial and Commercial Bank of China (ICBC)."/>
    <m/>
    <m/>
    <x v="0"/>
    <s v="Coal Power Plant - New"/>
    <s v="Financial Close"/>
    <n v="60"/>
    <n v="6.8284363914000015E-2"/>
    <n v="2.7313745565600005"/>
    <m/>
    <m/>
    <m/>
  </r>
  <r>
    <x v="6"/>
    <x v="11"/>
    <s v="Other Public Financer"/>
    <n v="880000000"/>
    <s v="PT GENERAL ENERGY BALI (GEB)"/>
    <s v="SPESC"/>
    <s v="SHANGHAI"/>
    <x v="39"/>
    <m/>
    <x v="35"/>
    <x v="6"/>
    <x v="20"/>
    <s v="Bali"/>
    <m/>
    <s v="http://www.sourcewatch.org/index.php/Celukan_Bawang_power_station_x000a_https://www.bu.edu/pardeeschool/files/2016/05/Fueling-Growth.FINAL_.version.pdf"/>
    <m/>
    <x v="0"/>
    <s v="Coal Power Plant - New"/>
    <s v="Financial Close"/>
    <n v="142"/>
    <n v="0.16160632792979998"/>
    <n v="6.4642531171919995"/>
    <m/>
    <m/>
    <m/>
  </r>
  <r>
    <x v="6"/>
    <x v="12"/>
    <s v="Export Credit &amp; Insurance"/>
    <n v="467330000"/>
    <s v="JAKS Resources and China Power Engineering Consulting Group"/>
    <m/>
    <m/>
    <x v="40"/>
    <s v="https://ijglobal.com/data/transaction/34394/hai-duong-coal-fired-power-plant-1200mw"/>
    <x v="5"/>
    <x v="6"/>
    <x v="24"/>
    <m/>
    <s v="Total power plant size is 1200MW, divided equally between the three financers: ICBC, China Exim, and China Construction Bank. "/>
    <m/>
    <m/>
    <x v="0"/>
    <s v="Coal Power Plant - New"/>
    <s v="Financial Close"/>
    <n v="400"/>
    <n v="0.45522909276000001"/>
    <n v="18.209163710399999"/>
    <m/>
    <m/>
    <m/>
  </r>
  <r>
    <x v="6"/>
    <x v="12"/>
    <s v="Export Credit &amp; Insurance"/>
    <n v="1200000000"/>
    <s v="Zimbabwe Power Company"/>
    <s v="Sino Hydro Corporation"/>
    <m/>
    <x v="41"/>
    <s v="http://www.reuters.com/article/us-china-africa-zimbabwe-idUSKBN0TK3Q320151201"/>
    <x v="36"/>
    <x v="0"/>
    <x v="26"/>
    <s v="Matabeleland North"/>
    <s v="http://www.zpc.co.zw/projects/2/hwange-power-station-expansion_x000a_"/>
    <s v="http://www.iea.org/publications/freepublications/publication/Partner_Country_SeriesChinaBoosting_the_Power_Sector_in_SubSaharan_Africa_Chinas_Involvement.pdf"/>
    <s v="http://www.sourcewatch.org/index.php/Hwange_power_station"/>
    <x v="0"/>
    <s v="Coal power plant - expansion"/>
    <s v="Financial Close"/>
    <n v="600"/>
    <n v="0.68284363914000001"/>
    <n v="27.313745565600001"/>
    <m/>
    <m/>
    <s v="Yes"/>
  </r>
  <r>
    <x v="6"/>
    <x v="11"/>
    <s v="Other Public Financer"/>
    <n v="207000000"/>
    <s v="Engro Powergen Limited (50.1%), Habib Bank Limited (9.5%), Liberty Mills Limited (5.4%), China Machinery Engineering Corporation (35%)"/>
    <m/>
    <m/>
    <x v="42"/>
    <s v="https://ijglobal.com/data/transaction/32419/thar-coal-mine-and-coal-fired-power-plant-660mw-phase-1"/>
    <x v="37"/>
    <x v="5"/>
    <x v="19"/>
    <m/>
    <s v="The financing will be used for the development of a 660MW mine-mouth coal-fired power plant in Tharparkar, Sindh, Pakistan. This is the first phase of Thar project and in phase two will be added another 660MW power to the plant facility."/>
    <s v="_x000a_http://www.dawn.com/news/1226912_x000a_http://www.ccb.com/cn/ccbtoday/media/20160330_1459320465.html;_x000a_http://news.xinhuanet.com/world/2016-04/12/c_128886142.htm;"/>
    <s v="http://nation.com.pk/national/28-Jan-2017/certain-issues-need-to-be-streamlined"/>
    <x v="0"/>
    <s v="Coal Power Plant and Mining - Existing"/>
    <s v="Financial Close"/>
    <n v="660"/>
    <n v="0.75112800305400007"/>
    <n v="30.045120122160004"/>
    <m/>
    <m/>
    <m/>
  </r>
  <r>
    <x v="6"/>
    <x v="11"/>
    <s v="Other Public Financer"/>
    <n v="1800000000"/>
    <s v="Shenhua Group and PT PLN subsidiary"/>
    <s v="ZTPCC"/>
    <m/>
    <x v="43"/>
    <s v="https://ijglobal.com/data/transaction/32275/java-7-coal-fired-power-plant-2000mw-ppp"/>
    <x v="38"/>
    <x v="6"/>
    <x v="20"/>
    <m/>
    <m/>
    <m/>
    <m/>
    <x v="0"/>
    <s v="Coal Power Plant - New"/>
    <s v="Financial Close"/>
    <n v="2000"/>
    <n v="2.2761454638000003"/>
    <n v="91.045818552000014"/>
    <m/>
    <m/>
    <m/>
  </r>
  <r>
    <x v="6"/>
    <x v="12"/>
    <s v="Export Credit &amp; Insurance"/>
    <n v="1900000000"/>
    <s v="Bangladesh-China Power Company Ltd (BCPCL) – a 50-50 partnership between North-West Power Generation Company of Bangladesh and China National Machinery Import and Export Corporation"/>
    <s v="NEPC1"/>
    <s v="Dongfang Electric"/>
    <x v="44"/>
    <s v="http://www.eximbank.gov.cn/tm/Newdetails/index.aspx?nodeid=343&amp;page=ContentPage&amp;categoryid=0&amp;contentid=29406 _x000a_"/>
    <x v="39"/>
    <x v="5"/>
    <x v="27"/>
    <s v="Kalapara Upazila - Patuakhali Dist, Barisal"/>
    <s v="265 km (165 miles) southeast of Dhaka, expected to begin power generation by the end of 2019., under construction"/>
    <s v="http://archive.newagebd.net/252773/rampal-payra-coal-fired-power-plants/_x000a_"/>
    <s v="http://www.reuters.com/article/us-bangladesh-power-protest-idUSKBN15H0L3"/>
    <x v="0"/>
    <s v="Coal Power Plant - New"/>
    <s v="Financial Close"/>
    <n v="1320"/>
    <n v="1.5022560061080001"/>
    <n v="60.090240244320007"/>
    <m/>
    <m/>
    <m/>
  </r>
  <r>
    <x v="6"/>
    <x v="12"/>
    <s v="Export Credit &amp; Insurance"/>
    <n v="137500000"/>
    <s v="Tenaga Listrik Bengkulu (TLP),  joint venture Intraco Penta and Chinese power firm Power Construction Corp of China has"/>
    <s v="PowerChina Resource"/>
    <m/>
    <x v="45"/>
    <s v="https://tradefinanceanalytics.com/data/transaction/55048/tlb-270-million-1016"/>
    <x v="40"/>
    <x v="6"/>
    <x v="20"/>
    <s v="Bengkulu Province"/>
    <s v="has signed a $270 million facility wit h ICBC and China Eximbank. Unclear on loan size for each, so split in half"/>
    <s v="http://www.chinadaily.com.cn/bizchina/2016-10/26/content_27179531.htm"/>
    <s v="http://www.4-traders.com/POWER-CONSTRUCTION-CORP-O-9950512/news/Power-Construction-of-China-PCCC-joined-Indonesia-Coal-fired-Power-Plant-Started-23277097/_x000a_http://www.4-traders.com/INTRACO-PENTA-TBK-PT-20700854/news/Intraco-Penta-Tbk-PT-PCCC-Secures-270m-Loan-for-Bengkulu-Power-Project-23301402/"/>
    <x v="0"/>
    <s v="Coal Power Plant - New"/>
    <s v="Financial Close"/>
    <n v="100"/>
    <n v="0.11380727319"/>
    <n v="4.5522909275999996"/>
    <m/>
    <m/>
    <m/>
  </r>
  <r>
    <x v="6"/>
    <x v="14"/>
    <s v="Other Public Financer"/>
    <n v="127800000"/>
    <s v="ACWA Power, Harbin Power, and Dubai Electricity &amp; Water Authority"/>
    <s v="HARBIN"/>
    <s v="ALSTOM"/>
    <x v="46"/>
    <s v="https://ijglobal.com/data/transaction/20604/hassyan-coal-fired-power-plant-phase-1-2400mw-ppp"/>
    <x v="41"/>
    <x v="7"/>
    <x v="17"/>
    <s v="Dubai"/>
    <m/>
    <s v="http://xn--boq62d51cyxaz4fmxkbmd48z5vk36g7mttvnup4ddz0a2ea.com/en.php/News/news_1_view/id/2064"/>
    <s v="http://www.sinosure.com.cn/sinosure/xwzx/xwgj/images/20160126/33250.pdf "/>
    <x v="0"/>
    <s v="Coal Power Plant - New"/>
    <s v="Financial Close"/>
    <n v="480"/>
    <n v="0.54627491131200012"/>
    <n v="21.850996452480004"/>
    <m/>
    <m/>
    <m/>
  </r>
  <r>
    <x v="6"/>
    <x v="15"/>
    <s v="TBD"/>
    <n v="0"/>
    <m/>
    <m/>
    <m/>
    <x v="47"/>
    <s v="http://www.dawn.com/news/1259048"/>
    <x v="42"/>
    <x v="5"/>
    <x v="19"/>
    <m/>
    <m/>
    <s v="http://www.sourcewatch.org/index.php/Salt_Range_power_station"/>
    <m/>
    <x v="0"/>
    <s v="Coal Power Plant - New"/>
    <s v="Deferred"/>
    <m/>
    <n v="0"/>
    <n v="0"/>
    <m/>
    <m/>
    <m/>
  </r>
  <r>
    <x v="6"/>
    <x v="12"/>
    <s v="Export Credit &amp; Insurance"/>
    <n v="715000000"/>
    <s v="Elektroprivreda Srbije, a Serbian electricity conglomerate"/>
    <s v="China Machinery and Engineering Corp"/>
    <m/>
    <x v="48"/>
    <s v="https://tradefinanceanalytics.com/data/transaction/55642/elektroprivreda-srbije-715-million-0117"/>
    <x v="42"/>
    <x v="3"/>
    <x v="5"/>
    <m/>
    <s v="has started the second phase of the modernization project of thermal power plant Kostolac B with the start of installation of excavatorconveyor-spreader (ECS) system at Drmno coalmine._x000a_The project for the modernization of TPP Kostolac B also includes the construction of the new B3 unit with power output of 350 MW._x000a__x000a_maturity of the loan is 20 years, with a 7- years grace period and fixed interest of 2.5 %."/>
    <s v="http://serbia-energy.eu/serbia-second-phase-tpp-kostolac-b-modernization-started/"/>
    <m/>
    <x v="0"/>
    <s v="Mine and Plant"/>
    <s v="Financial Close"/>
    <n v="350"/>
    <n v="0.39832545616499998"/>
    <n v="15.9330182466"/>
    <m/>
    <m/>
    <m/>
  </r>
  <r>
    <x v="6"/>
    <x v="12"/>
    <s v="Export Credit &amp; Insurance"/>
    <n v="700000000"/>
    <s v="Guangdong Guangxin Holdings Group,"/>
    <m/>
    <m/>
    <x v="49"/>
    <s v="https://tradefinanceanalytics.com/data/transaction/50640/guangdong-guangxin-holdings-group"/>
    <x v="43"/>
    <x v="6"/>
    <x v="20"/>
    <m/>
    <s v="8-year committed unsecured facility ; along with Bank of China and ICBC"/>
    <m/>
    <m/>
    <x v="0"/>
    <s v="Coal Power Plant - Captive"/>
    <s v="Financial Close"/>
    <m/>
    <n v="0"/>
    <n v="0"/>
    <m/>
    <m/>
    <m/>
  </r>
  <r>
    <x v="6"/>
    <x v="11"/>
    <s v="Other Public Financer"/>
    <n v="125000000"/>
    <s v="Port Qasim Electric Power Company "/>
    <m/>
    <m/>
    <x v="50"/>
    <s v="https://ijglobal.com/data/transaction/33205/k-electric-port-qasim-coal-fired-power-plant-700mw"/>
    <x v="44"/>
    <x v="5"/>
    <x v="19"/>
    <m/>
    <s v="The total cost of the project is $1.92 billion and the sponsors have arranged $1.44 billion loan at 6 per cent interest rate; one unit constructed. One under construction"/>
    <s v="https://tribune.com.pk/story/1327172/windfall-chinese-coal-fired-projects/"/>
    <s v="http://nation.com.pk/national/28-Jan-2017/certain-issues-need-to-be-streamlined_x000a_"/>
    <x v="0"/>
    <s v="Coal Power Plant - New"/>
    <s v="Likely Financial Close"/>
    <n v="1320"/>
    <n v="1.5022560061080001"/>
    <n v="60.090240244320007"/>
    <m/>
    <m/>
    <m/>
  </r>
  <r>
    <x v="6"/>
    <x v="15"/>
    <s v="TBD"/>
    <m/>
    <s v="China Communications Construction Company"/>
    <m/>
    <m/>
    <x v="51"/>
    <s v="https://ijglobal.com/articles/106598/chinese-firm-wins-gwadar-coal-plant"/>
    <x v="3"/>
    <x v="5"/>
    <x v="19"/>
    <m/>
    <m/>
    <m/>
    <m/>
    <x v="0"/>
    <m/>
    <s v="Financing"/>
    <n v="300"/>
    <n v="0.34142181957000001"/>
    <n v="13.656872782800001"/>
    <m/>
    <m/>
    <m/>
  </r>
  <r>
    <x v="6"/>
    <x v="15"/>
    <s v="TBD"/>
    <m/>
    <s v="RURAL POWER CO LTD"/>
    <s v="PC/HHPE"/>
    <m/>
    <x v="52"/>
    <s v="Platts"/>
    <x v="3"/>
    <x v="5"/>
    <x v="27"/>
    <s v="Gazaria Upazila - Munshiganj Dist, Dhaka"/>
    <m/>
    <m/>
    <m/>
    <x v="0"/>
    <s v="Coal Power - New"/>
    <s v="Financing"/>
    <n v="350"/>
    <n v="0.39832545616499998"/>
    <n v="15.9330182466"/>
    <m/>
    <m/>
    <m/>
  </r>
  <r>
    <x v="6"/>
    <x v="15"/>
    <s v="TBD"/>
    <m/>
    <s v="Huadian Chittagong"/>
    <s v="CHEC"/>
    <m/>
    <x v="53"/>
    <s v="Platts"/>
    <x v="3"/>
    <x v="5"/>
    <x v="27"/>
    <s v="Masheshkhali - Cox's Bazar Dist, Chittagong"/>
    <m/>
    <m/>
    <m/>
    <x v="0"/>
    <s v="Coal Power - New"/>
    <s v="Financing"/>
    <n v="1320"/>
    <n v="1.5022560061080001"/>
    <n v="60.090240244320007"/>
    <m/>
    <m/>
    <m/>
  </r>
  <r>
    <x v="6"/>
    <x v="15"/>
    <s v="TBD"/>
    <m/>
    <s v="Bangladesh Power Development Board (PDB) "/>
    <s v="Sepco Electric Power Construction Corporation"/>
    <m/>
    <x v="54"/>
    <s v="http://www.sourcewatch.org/index.php/Maheshkhali_power_station_(PowerChina)"/>
    <x v="3"/>
    <x v="5"/>
    <x v="27"/>
    <s v="Maheshkhali Island"/>
    <s v="Both the parties have agreed to finance 50% of the project"/>
    <m/>
    <m/>
    <x v="0"/>
    <s v="Coal Power - New"/>
    <s v="Financing"/>
    <n v="1320"/>
    <n v="1.5022560061080001"/>
    <n v="60.090240244320007"/>
    <m/>
    <m/>
    <m/>
  </r>
  <r>
    <x v="6"/>
    <x v="12"/>
    <s v="Export Credit &amp; Insurance"/>
    <n v="1739000000"/>
    <s v="S Alam Group"/>
    <s v="China's SEPCOIII Electric Power Construction Corp"/>
    <m/>
    <x v="55"/>
    <s v="http://www.theindependentbd.com/printversion/details/34267_x000a__x000a_http://www.globalconstructionreview.com/news/more-death-and-injury-mar-chine7se-back7ed-co7al/"/>
    <x v="3"/>
    <x v="5"/>
    <x v="27"/>
    <s v="Bankshali, Chittagong"/>
    <s v="China to finance 70% of 2.4 billion; 265 km (165 miles) southeast of Dhaka, expected to begin power generation by the end of 2019."/>
    <s v="http://www.reuters.com/article/us-bangladesh-power-protest-idUSKBN15H0L3"/>
    <s v="http://www.sepco3.com/news_article.aspx?NewsId=416&amp;CateId=137"/>
    <x v="0"/>
    <s v="Coal Power Plant - New"/>
    <s v="Financing"/>
    <n v="1320"/>
    <n v="1.5022560061080001"/>
    <n v="60.090240244320007"/>
    <m/>
    <m/>
    <m/>
  </r>
  <r>
    <x v="6"/>
    <x v="12"/>
    <s v="Export Credit &amp; Insurance"/>
    <m/>
    <s v="Bangladesh-China Power Company Ltd (BCPCL) – a 50-50 partnership between North-West Power Generation Company of Bangladesh and China National Machinery Import and Export Corporation"/>
    <m/>
    <s v="China"/>
    <x v="56"/>
    <m/>
    <x v="3"/>
    <x v="5"/>
    <x v="27"/>
    <s v="Kalapara Upazila - Patuakhali Dist, Barisal"/>
    <s v="265 km (165 miles) southeast of Dhaka, expected to begin power generation by the end of 2019."/>
    <m/>
    <m/>
    <x v="0"/>
    <s v="Coal Power - Expansion"/>
    <s v="Planned"/>
    <n v="1320"/>
    <n v="1.5022560061080001"/>
    <n v="60.090240244320007"/>
    <m/>
    <m/>
    <m/>
  </r>
  <r>
    <x v="6"/>
    <x v="12"/>
    <s v="Export Credit &amp; Insurance"/>
    <n v="881880000"/>
    <s v="Elektroprivreda BiH"/>
    <s v="Gezouba International, CGGC"/>
    <s v="Alstom, Siemens"/>
    <x v="57"/>
    <s v="http://bankwatch.org/news-media/blog/public-bosnia-herzegovina-pay-shaky-economics-tuzla-7-coal-plant-will-officials-take"/>
    <x v="3"/>
    <x v="3"/>
    <x v="28"/>
    <s v="Tuzla City"/>
    <s v="Loan conditionality under negotiation. There is a 50 mil EUR difference between the figures for preferred buyers' credit and buyers' credit "/>
    <s v="http://www.sourcewatch.org/index.php/Tuzla_Thermal_Power_Plant"/>
    <m/>
    <x v="0"/>
    <s v="Coal Power Plant - New"/>
    <s v="Financing"/>
    <n v="450"/>
    <n v="0.51213272935499998"/>
    <n v="20.485309174199998"/>
    <m/>
    <m/>
    <m/>
  </r>
  <r>
    <x v="6"/>
    <x v="13"/>
    <s v="Export Credit &amp; Insurance"/>
    <m/>
    <s v="Banovici  "/>
    <s v="Dongfang Electric"/>
    <s v="Dongfang Electric"/>
    <x v="58"/>
    <s v="http://serbia-energy.eu/bosnia-tpp-banovici-construction-kick-off-2017/"/>
    <x v="3"/>
    <x v="3"/>
    <x v="28"/>
    <s v="Tuzla"/>
    <s v="agreement with the bank will be signed by the end of 2016 which would create conditions for the official start of this project.A meeting in China over two of those issues will be scheduled, to be attended by representatives of both firms and the Federation government, as well as the Industrial and Commercial Bank of China (ICBC) and China Export&amp;Credit Insurance Corporation (SINOSURE)."/>
    <s v="http://www.energetika.ba/termoenergija/12161-jos-malo-priprema-za-blok-7-exim-banka-zeli-provjeriti-poslovanje-ep-bih.html_x000a__x000a_http://www.sourcewatch.org/index.php/Banovici_power_station"/>
    <s v="http://bankwatch.org/our-work/projects/banovici-lignite-power-plant-bosnia-and-herzegovina_x000a_http://www.climatedepot.com/2016/09/21/china-funds-and-builds-europes-new-coal-power-plants/"/>
    <x v="0"/>
    <s v="Coal Power Plant - New"/>
    <s v="Financing"/>
    <n v="350"/>
    <n v="0.39832545616499998"/>
    <n v="15.9330182466"/>
    <m/>
    <m/>
    <m/>
  </r>
  <r>
    <x v="6"/>
    <x v="11"/>
    <s v="Other Public Financer"/>
    <n v="782250000"/>
    <s v="COMSAR ENERGY REPUBLIKA SRPSKA"/>
    <s v="China National Electric Engineering Company"/>
    <m/>
    <x v="59"/>
    <s v="http://renewables.seenews.com/news/comsar-energy-to-invest-some-1-0-bln-euro-in-bosnia-s-tpp-ugljevik-3-hpp-mrsovo-media-324567#"/>
    <x v="3"/>
    <x v="3"/>
    <x v="28"/>
    <s v="Ugljevik, Srpska"/>
    <s v="MoU with China Development signed in 2015; from Bankwatch_x000a_Tuzla 7, Banovici and Ugljevik III are still in play. They have environmental permits – subject to court rulings – but have yet to sign finance deals. That is to say nothing of various mooted projects that are at the pre-permit stage."/>
    <s v="http://www.freetradezoneconsulting.com/eng.php?cat_code=sewyxx&amp;art_id=809"/>
    <s v="http://www.sourcewatch.org/index.php/Ugljevik_Thermal_Power_Plant"/>
    <x v="0"/>
    <s v="Coal power plant - expansion"/>
    <s v="Financing"/>
    <n v="600"/>
    <n v="0.68284363914000001"/>
    <n v="27.313745565600001"/>
    <m/>
    <m/>
    <m/>
  </r>
  <r>
    <x v="6"/>
    <x v="15"/>
    <s v="TBD"/>
    <m/>
    <s v="Tractebel Energia"/>
    <m/>
    <m/>
    <x v="60"/>
    <s v="http://www.sourcewatch.org/index.php/Category:Proposed_coal_plants_in_Brazil"/>
    <x v="3"/>
    <x v="4"/>
    <x v="29"/>
    <s v="Candiota, Rio Grande do Sul"/>
    <s v="Chinese equipment including boiler; Chinese construction. China is tenatively the funding country, but as the insititution is unidentified, the country has been left blank."/>
    <s v="http://www.tractebelenergia.com.br/wps/wcm/connect/5905b0ed-b22e-42aa-8392-3aece8ec84d3/Perguntas+e+Respostas+UTE+Pampa+Sul.pdf?MOD=AJPERES"/>
    <s v="http://www.sourcewatch.org/index.php/Pampa_power_station"/>
    <x v="0"/>
    <s v="Coal Power Plant - New"/>
    <s v="Financing"/>
    <n v="300"/>
    <n v="0.34142181957000001"/>
    <n v="13.656872782800001"/>
    <m/>
    <m/>
    <m/>
  </r>
  <r>
    <x v="6"/>
    <x v="15"/>
    <s v="TBD"/>
    <n v="1600000000"/>
    <s v="USITESC (Usina Termelétrica Sul Catarinense)"/>
    <m/>
    <m/>
    <x v="61"/>
    <s v="http://am570.com.br/noticia.php?Tid=5464"/>
    <x v="3"/>
    <x v="4"/>
    <x v="29"/>
    <s v="Treviso, Santa Catarina"/>
    <m/>
    <s v="http://www.spindler.com.br/?p=5553_x000a__x000a_http://www.sourcewatch.org/index.php/Usitesc_power_station"/>
    <s v="http://www.sourcewatch.org/index.php/Category:Proposed_coal_plants_in_Brazil"/>
    <x v="0"/>
    <s v="Coal Power Plant - New"/>
    <s v="Planned"/>
    <n v="300"/>
    <n v="0.34142181957000001"/>
    <n v="13.656872782800001"/>
    <m/>
    <m/>
    <m/>
  </r>
  <r>
    <x v="6"/>
    <x v="15"/>
    <s v="TBD"/>
    <m/>
    <s v="Barcarena Geração de Energia Ltd"/>
    <s v="SDEPCI (Shandong Electric Power Engineering Consulting Institute)"/>
    <m/>
    <x v="62"/>
    <s v="http://www.sourcewatch.org/index.php/Category:Proposed_coal_plants_in_Brazil"/>
    <x v="3"/>
    <x v="4"/>
    <x v="29"/>
    <s v="Barcarena"/>
    <s v="Announced"/>
    <m/>
    <s v="http://www.sourcewatch.org/index.php/Category:Proposed_coal_plants_in_Brazil"/>
    <x v="0"/>
    <s v="Coal Power Plant - New"/>
    <s v="Financing"/>
    <n v="300"/>
    <n v="0.34142181957000001"/>
    <n v="13.656872782800001"/>
    <m/>
    <m/>
    <m/>
  </r>
  <r>
    <x v="6"/>
    <x v="11"/>
    <s v="Other Public Financer"/>
    <n v="984000000"/>
    <s v="Ouro Negro Energia, CITIC and Hebi Guochang Energy Development"/>
    <s v="SEPCO/HEBEI GROCHANG ENERGY"/>
    <m/>
    <x v="63"/>
    <s v="http://www.ipim.gov.mo/en/portuguese-speaking-countries-news/chinese-state-owned-enterprises-want-to-build-power-plant-in-brazil/"/>
    <x v="3"/>
    <x v="4"/>
    <x v="29"/>
    <s v="Santa Catarina, Pedras Altas, RS"/>
    <m/>
    <s v="http://dialogochino.net/brazil-adds-new-coal-fired-power/"/>
    <s v="http://www.sourcewatch.org/index.php/Pedras_Altas_power_station"/>
    <x v="0"/>
    <s v="Coal Power Plant - New"/>
    <s v="Planned"/>
    <n v="600"/>
    <n v="0.68284363914000001"/>
    <n v="27.313745565600001"/>
    <m/>
    <m/>
    <m/>
  </r>
  <r>
    <x v="6"/>
    <x v="15"/>
    <s v="TBD"/>
    <m/>
    <s v="KOH KONG POWER LIGHT LTD (EGCO/ITAL-THAI)"/>
    <s v="Datang"/>
    <m/>
    <x v="64"/>
    <s v="Platts"/>
    <x v="3"/>
    <x v="6"/>
    <x v="30"/>
    <s v="Laem Yai Saen, Koh Kong"/>
    <m/>
    <m/>
    <m/>
    <x v="0"/>
    <s v="Coal Power Plant - New"/>
    <s v="Financing"/>
    <n v="1830"/>
    <n v="2.0826730993770002"/>
    <n v="83.306923975080011"/>
    <m/>
    <m/>
    <m/>
  </r>
  <r>
    <x v="6"/>
    <x v="15"/>
    <s v="TBD"/>
    <m/>
    <s v="New Colombia Resources"/>
    <m/>
    <m/>
    <x v="65"/>
    <s v="http://www.coalage.com/news/world-news/5488-world-news-november-2016.html#.WIetNFMrLIV"/>
    <x v="3"/>
    <x v="4"/>
    <x v="31"/>
    <m/>
    <s v="New Colombia Resources said it is in talks to build a 300-megawatt (MW) thermal coal-fired power plant in Guaduas, Colombia, near its reserve base northeast of Bogota._x000a_Its subsidiary, Compañía Minera San Jose Ltda., is in negotiations with a foreign entity for the plant’s construction and has secured a $200 million letter of intent from a Chinese construction firm to join a consortium that could finance the development the plant as well as the operation that will feed it."/>
    <m/>
    <m/>
    <x v="0"/>
    <s v="Coal Power Plant - New"/>
    <s v="Financing"/>
    <n v="300"/>
    <n v="0.34142181957000001"/>
    <n v="13.656872782800001"/>
    <m/>
    <m/>
    <m/>
  </r>
  <r>
    <x v="6"/>
    <x v="12"/>
    <s v="Export Credit &amp; Insurance"/>
    <m/>
    <m/>
    <s v="Harbin-General Electric alliance"/>
    <m/>
    <x v="66"/>
    <s v="http://www.dailynewsegypt.com/2017/01/25/electricity-ministry-contracts-tractebel-assess-offers-10bn-coal-fueled-power-plant/"/>
    <x v="3"/>
    <x v="7"/>
    <x v="32"/>
    <m/>
    <s v="offered to establish a clean coal-fueled power plant to produce 6,510 MW with investments amounting to $8bn"/>
    <s v="http://www.4-traders.com/SHANGHAI-ELECTRIC-GROUP-C-6500348/news/Electricity-Ministry-compares-between-6-companies-to-build-10bn-coal-fired-power-plant-23274063/"/>
    <m/>
    <x v="0"/>
    <s v="Coal Power Plant - New"/>
    <s v="Financing"/>
    <n v="2170"/>
    <n v="2.4696178282230004"/>
    <n v="98.784713128920018"/>
    <m/>
    <m/>
    <m/>
  </r>
  <r>
    <x v="6"/>
    <x v="11"/>
    <s v="Other Public Financer"/>
    <m/>
    <m/>
    <s v="Harbin-General Electric alliance"/>
    <m/>
    <x v="66"/>
    <s v="http://www.dailynewsegypt.com/2017/01/25/electricity-ministry-contracts-tractebel-assess-offers-10bn-coal-fueled-power-plant/"/>
    <x v="3"/>
    <x v="7"/>
    <x v="32"/>
    <m/>
    <s v="offered to establish a clean coal-fueled power plant to produce 6,510 MW with investments amounting to $8bn"/>
    <s v="http://www.4-traders.com/SHANGHAI-ELECTRIC-GROUP-C-6500348/news/Electricity-Ministry-compares-between-6-companies-to-build-10bn-coal-fired-power-plant-23274063/"/>
    <m/>
    <x v="0"/>
    <s v="Coal Power Plant - New"/>
    <s v="Financing"/>
    <n v="2170"/>
    <n v="2.4696178282230004"/>
    <n v="98.784713128920018"/>
    <m/>
    <m/>
    <m/>
  </r>
  <r>
    <x v="6"/>
    <x v="16"/>
    <s v="Export Credit &amp; Insurance"/>
    <m/>
    <s v="Egyptian Electricity Holding Company"/>
    <s v="Shanghai Electric"/>
    <m/>
    <x v="67"/>
    <s v="http://www.dailynewsegypt.com/2017/01/25/electricity-ministry-contracts-tractebel-assess-offers-10bn-coal-fueled-power-plant/"/>
    <x v="3"/>
    <x v="7"/>
    <x v="32"/>
    <s v="Hamrawein"/>
    <s v="The Chinese Shanghai Electric offered to set up a coal-fired power plant in Hamrawein area on the Red Sea coast. The proposal includes a 4,640 MW power plant with investment up to $7bn.  the first phase of four 660 MW coal-fired generating units, the second phase of two 1,000 MW. they had agreed with three Chinese banks to finance the project. The banks include Ex-Im Bank, ICBC, and CDB. Hamrawein with a capacity of 2,640 MW and investments of $3bn. "/>
    <s v="http://menafn.com/1094851346/Al-Sisi-Electricity-Ministry-to-finalise-contract-with-Shanghai-Electric-for-coal-fired-power-plant-in-September"/>
    <s v="http://hk.on.cc/hk/bkn/cnt/finance/20160122/bkn-20160122194708305-0122_00842_001_cn.html_x000a_http://www.4-traders.com/SHANGHAI-ELECTRIC-GROUP-C-6500348/news/Shanghai-Electric-Government-Shanghai-Electric-to-sign-contract-in-September-22691177/?login=fail"/>
    <x v="0"/>
    <s v="Coal power plant - new "/>
    <s v="Financing"/>
    <n v="1320"/>
    <n v="1.5022560061080001"/>
    <n v="60.090240244320007"/>
    <m/>
    <m/>
    <m/>
  </r>
  <r>
    <x v="6"/>
    <x v="12"/>
    <s v="Export Credit &amp; Insurance"/>
    <n v="1500000000"/>
    <s v="Egyptian Electricity Holding Company"/>
    <s v="Dongfang Electric"/>
    <m/>
    <x v="68"/>
    <s v="http://www.hkexnews.hk/listedco/listconews/sehk/2016/0122/LTN20160122907.pdf"/>
    <x v="3"/>
    <x v="7"/>
    <x v="32"/>
    <s v="Hamrawein"/>
    <s v="2640MW plant. Power plant size is equally divided by the two investors, China ExIm and Industrial and Commercial Bank of China. Article show conflicting cost of plant. Decided on lower amount ($3B USD), and divided equally between two investors.From Bankwatch"/>
    <s v="http://menafn.com/1094851346/Al-Sisi-Electricity-Ministry-to-finalise-contract-with-Shanghai-Electric-for-coal-fired-power-plant-in-September"/>
    <m/>
    <x v="0"/>
    <s v="Coal power plant - new "/>
    <s v="Financing"/>
    <n v="1320"/>
    <n v="1.5022560061080001"/>
    <n v="60.090240244320007"/>
    <m/>
    <m/>
    <m/>
  </r>
  <r>
    <x v="6"/>
    <x v="13"/>
    <s v="Export Credit &amp; Insurance"/>
    <n v="2000000000"/>
    <s v="Egyptian power holding company"/>
    <s v="Dongfang Electric"/>
    <m/>
    <x v="69"/>
    <s v="http://www.sinosure.com.cn/sinosure/xwzx/xwgj/images/20160128/33262.pdf"/>
    <x v="3"/>
    <x v="7"/>
    <x v="32"/>
    <s v="Hamrawein"/>
    <s v="The total installed capacity of 3960MW, developed in two phases, each for 3 * 660MW. _x000a_Hamrawein area on the Red Sea coast. Total value 2B not sure of Sinosure portion yet"/>
    <s v="http://www.sinosure.com.cn/sinosure/xwzx/xwgj/images/20160128/33262.pdf "/>
    <s v="http://www.4-traders.com/SHANGHAI-ELECTRIC-GROUP-C-6500348/news/Electricity-Ministry-compares-between-6-companies-to-build-10bn-coal-fired-power-plant-23274063/"/>
    <x v="0"/>
    <s v="Coal Power Plant - New"/>
    <s v="Financing"/>
    <n v="1980"/>
    <n v="2.2533840091619997"/>
    <n v="90.135360366479986"/>
    <m/>
    <m/>
    <m/>
  </r>
  <r>
    <x v="6"/>
    <x v="13"/>
    <s v="Export Credit &amp; Insurance"/>
    <m/>
    <s v="Egyptian power holding company"/>
    <s v="Dongfang Electric"/>
    <m/>
    <x v="70"/>
    <s v="http://www.sinosure.com.cn/sinosure/xwzx/xwgj/images/20160128/33262.pdf"/>
    <x v="3"/>
    <x v="7"/>
    <x v="32"/>
    <s v="Hamrawein"/>
    <s v="The total installed capacity of 3960MW, developed in two phases, each for 3 * 660MW. _x000a_Hamrawein area on the Red Sea coast. Total value 2B not sure of Sinosure portion yet"/>
    <s v="https://translate.google.com/translate?sl=zh-CN&amp;tl=en&amp;js=y&amp;prev=_t&amp;hl=en&amp;ie=UTF-8&amp;u=http%3A%2F%2Fwww.dec-ltd.cn%2Fdata%2Fimages%2F2016%2F08%2F8a6acdfc90080f0f20e080a64d63e88a.pdf&amp;edit-text="/>
    <s v="http://www.4-traders.com/SHANGHAI-ELECTRIC-GROUP-C-6500348/news/Electricity-Ministry-compares-between-6-companies-to-build-10bn-coal-fired-power-plant-23274063/"/>
    <x v="0"/>
    <s v="Coal Power Plant - New"/>
    <s v="Financing"/>
    <n v="1980"/>
    <n v="2.2533840091619997"/>
    <n v="90.135360366479986"/>
    <m/>
    <m/>
    <m/>
  </r>
  <r>
    <x v="6"/>
    <x v="14"/>
    <s v="TBD"/>
    <n v="200000000"/>
    <s v="Georgian Industrial Group"/>
    <s v="Dongfang Electric"/>
    <m/>
    <x v="71"/>
    <s v="http://greenalt.org/wp-content/uploads/2016/12/Gardabani_Coal_fired_2016.pdf"/>
    <x v="3"/>
    <x v="8"/>
    <x v="33"/>
    <m/>
    <s v="Dongfang will use a Chinese bank "/>
    <s v="http://agenda.ge/news/42103/eng_x000a_http://www.gig.ge/uploads/2016-07-13/7PR%20chineli%20investorebi%20en.pdf"/>
    <m/>
    <x v="0"/>
    <s v="Coal power plant - new "/>
    <s v="Planned"/>
    <n v="150"/>
    <n v="0.170710909785"/>
    <n v="6.8284363914000004"/>
    <m/>
    <m/>
    <m/>
  </r>
  <r>
    <x v="6"/>
    <x v="17"/>
    <s v="TBD"/>
    <m/>
    <s v="Volta River Authority (VRA)"/>
    <s v="Shenzhen Energy Group Co. Ltd. of China (SEC)"/>
    <m/>
    <x v="72"/>
    <s v="http://www.ghanaweb.com/GhanaHomePage/NewsArchive/Let-s-consolidate-power-gains-with-coal-Jinapor-505542"/>
    <x v="3"/>
    <x v="0"/>
    <x v="34"/>
    <s v="Ekumfi Aboano District, Central Region"/>
    <s v="The plant is to be further expanded either by 4×350MW (or 2×600MW) supercritical coal-fired generating units in the future, as demand is expected to continue increasing. The project includes the construction of a coal port solely dedicated to taking delivery of imported coal."/>
    <s v="https://www.modernghana.com/news/731131/us15-billion-coal-power-project-rejected-by-government.html"/>
    <s v="http://www.sourcewatch.org/index.php/Aboano_power_station_x000a_http://www.cdb.com.cn/rdzt/gjyw_1/201609/t20160909_3640.html"/>
    <x v="0"/>
    <s v="Expansion"/>
    <s v="Planned"/>
    <m/>
    <n v="0"/>
    <n v="0"/>
    <m/>
    <m/>
    <m/>
  </r>
  <r>
    <x v="6"/>
    <x v="18"/>
    <s v="Other Public Financer"/>
    <n v="1500000000"/>
    <s v="Volta River Authority (VRA)"/>
    <s v="Shenzhen Energy Group Co. Ltd. of China (SEC)"/>
    <m/>
    <x v="73"/>
    <s v="http://www.ghanaweb.com/GhanaHomePage/NewsArchive/Let-s-consolidate-power-gains-with-coal-Jinapor-505542"/>
    <x v="3"/>
    <x v="0"/>
    <x v="34"/>
    <s v="Ekumfi Aboano District, Central Region"/>
    <s v="The China-Africa Development Fund (CADFund) is to provide about-US$1.5billion long-term loan for the construction of two 350MW coal-fired plants to meet future power demand._x000a_Facing opposition, future prospects unclear"/>
    <s v="https://www.modernghana.com/news/731131/us15-billion-coal-power-project-rejected-by-government.html"/>
    <s v="http://www.sourcewatch.org/index.php/Aboano_power_station_x000a_http://www.cdb.com.cn/rdzt/gjyw_1/201609/t20160909_3640.html"/>
    <x v="0"/>
    <s v="Coal power plant - new "/>
    <s v="Planned"/>
    <n v="700"/>
    <n v="0.79665091232999996"/>
    <n v="31.866036493199999"/>
    <m/>
    <m/>
    <m/>
  </r>
  <r>
    <x v="6"/>
    <x v="15"/>
    <s v="TBD"/>
    <m/>
    <s v="PUBLIC POWER CORP SA (DEI) (PPC)"/>
    <s v="CMEC"/>
    <m/>
    <x v="74"/>
    <m/>
    <x v="3"/>
    <x v="3"/>
    <x v="35"/>
    <m/>
    <s v="OBOR"/>
    <s v="http://www.sourcewatch.org/index.php/Florina_(Meliti)_Power_Station"/>
    <s v="http://www.reuters.com/article/public-power-cmec-memorandum-idUSL8N1BQ0NH"/>
    <x v="0"/>
    <m/>
    <s v="Planned"/>
    <n v="450"/>
    <n v="0.51213272935499998"/>
    <n v="20.485309174199998"/>
    <m/>
    <m/>
    <m/>
  </r>
  <r>
    <x v="6"/>
    <x v="11"/>
    <s v="Other Public Financer"/>
    <n v="500000000"/>
    <s v="Sinar Mas Group"/>
    <m/>
    <m/>
    <x v="75"/>
    <m/>
    <x v="3"/>
    <x v="6"/>
    <x v="20"/>
    <s v="Bungo, Jambi"/>
    <m/>
    <s v="http://www.sourcewatch.org/index.php/Sinar_Mas_Jambi_power_station"/>
    <m/>
    <x v="0"/>
    <s v="Coal Power Plant - New"/>
    <s v="Financing"/>
    <n v="400"/>
    <n v="0.45522909276000001"/>
    <n v="18.209163710399999"/>
    <m/>
    <m/>
    <m/>
  </r>
  <r>
    <x v="6"/>
    <x v="15"/>
    <s v="TBD"/>
    <m/>
    <s v="PLN"/>
    <m/>
    <m/>
    <x v="76"/>
    <s v="https://ijglobal.com/data/transaction/36576/kalbar-2-power-plant-200mw-ppp"/>
    <x v="3"/>
    <x v="6"/>
    <x v="20"/>
    <s v="East Kalimantan"/>
    <m/>
    <s v="http://www.sourcewatch.org/index.php/Kalbar-2_power_station"/>
    <m/>
    <x v="0"/>
    <s v="Coal Power Plant - New"/>
    <s v="Financing"/>
    <n v="200"/>
    <n v="0.22761454638"/>
    <n v="9.1045818551999993"/>
    <m/>
    <m/>
    <m/>
  </r>
  <r>
    <x v="6"/>
    <x v="15"/>
    <s v="TBD"/>
    <n v="1160000000"/>
    <s v="PT. BANTAENG SIGMA ENERGI (BSE) "/>
    <s v="China Machinery Engineering Corporation"/>
    <m/>
    <x v="77"/>
    <s v="http://www.hkexnews.hk/listedco/listconews/SEHK/2015/1223/LTN20151223681.pdf"/>
    <x v="3"/>
    <x v="6"/>
    <x v="20"/>
    <m/>
    <s v="2x300 MW"/>
    <s v="http://www.construction-ic.com/HomePage/Projects?ReturnUrl=%2FProjects%2FOverview%2F196345%3Futm_source%3Dworldconstructionnetwork%26utm_medium%3DReferral%26utm_campaign%3DBSE%2B%25E2%2580%2593%2BBantaeng%2BRegency%2BCoal%2BFired%2BPower%2BPlant%2B600%2BMW%2B%25E2%2580%2593%2BSouth%2BSulawesi%2BProvince&amp;utm_source=worldconstructionnetwork&amp;utm_medium=Referral&amp;utm_campaign=BSE%20%E2%80%93%20Bantaeng%20Regency%20Coal%20Fired%20Power%20Plant%20600%20MW%20%E2%80%93%20South%20Sulawesi%20Province"/>
    <m/>
    <x v="0"/>
    <s v="Coal power plant - new "/>
    <s v="Financing"/>
    <n v="600"/>
    <n v="0.68284363914000001"/>
    <n v="27.313745565600001"/>
    <m/>
    <m/>
    <m/>
  </r>
  <r>
    <x v="6"/>
    <x v="15"/>
    <s v="TBD"/>
    <m/>
    <s v="PT PLN PERSERO"/>
    <s v="CMEC"/>
    <m/>
    <x v="78"/>
    <m/>
    <x v="3"/>
    <x v="6"/>
    <x v="20"/>
    <s v="Banten"/>
    <s v="expansion or other?"/>
    <m/>
    <m/>
    <x v="0"/>
    <m/>
    <s v="Planned"/>
    <n v="625"/>
    <n v="0.7112954574375"/>
    <n v="28.451818297500001"/>
    <m/>
    <m/>
    <m/>
  </r>
  <r>
    <x v="6"/>
    <x v="19"/>
    <s v="TBD"/>
    <m/>
    <s v="OAO ELECTRICHESKIYE STANTSII"/>
    <s v="TBEA"/>
    <s v="HARBIN"/>
    <x v="79"/>
    <s v="http://24.kg/archive/en/community/175354-news24.html/"/>
    <x v="3"/>
    <x v="8"/>
    <x v="36"/>
    <s v="Bishkek"/>
    <m/>
    <m/>
    <m/>
    <x v="0"/>
    <m/>
    <s v="Planned"/>
    <n v="150"/>
    <n v="0.170710909785"/>
    <n v="6.8284363914000004"/>
    <m/>
    <m/>
    <m/>
  </r>
  <r>
    <x v="6"/>
    <x v="19"/>
    <s v="TBD"/>
    <m/>
    <s v="OAO ELECTRICHESKIYE STANTSII"/>
    <s v="TBEA"/>
    <s v="HARBIN"/>
    <x v="80"/>
    <s v="http://24.kg/archive/en/community/175354-news24.html/"/>
    <x v="3"/>
    <x v="8"/>
    <x v="36"/>
    <s v="Bishkek"/>
    <m/>
    <m/>
    <m/>
    <x v="0"/>
    <m/>
    <s v="Planned"/>
    <n v="150"/>
    <n v="0.170710909785"/>
    <n v="6.8284363914000004"/>
    <m/>
    <m/>
    <m/>
  </r>
  <r>
    <x v="6"/>
    <x v="12"/>
    <s v="Export Credit &amp; Insurance"/>
    <m/>
    <s v="Malawi Energy Regulatory Authority"/>
    <s v="China Gezhouba Group Company"/>
    <m/>
    <x v="81"/>
    <s v="http://malawianonline.com/business/borrow-to-grow-china-urges/"/>
    <x v="3"/>
    <x v="0"/>
    <x v="37"/>
    <s v="Zalewa, Neno"/>
    <s v="The first phase involves the construction of a 300MW (6X50MW) power plant and the second phase includes a 700MW coal-fired power plant."/>
    <s v="http://www.construction-ic.com/HomePage/Projects?ReturnUrl=%2FProjects%2FOverview%2F158448%3Futm_source%3Dworldconstructionnetwork%26utm_medium%3DReferral%26utm_campaign%3DMERA%2B%25E2%2580%2593%2BKam%25E2%2580%2599mwamba%2BCoal%2BFired%2BPower%2BPlant%2B1000%2BMW%2B%25E2%2580%2593%2BMalawi&amp;utm_source=worldconstructionnetwork&amp;utm_medium=Referral&amp;utm_campaign=MERA%20%E2%80%93%20Kam%E2%80%99mwamba%20Coal%20Fired%20Power%20Plant%201000%20MW%20%E2%80%93%20Malawi"/>
    <s v="http://www.sourcewatch.org/index.php/Kamwamba_power_station_x000a_"/>
    <x v="0"/>
    <s v="Coal Power Plant - New"/>
    <s v="Financing"/>
    <n v="700"/>
    <n v="0.79665091232999996"/>
    <n v="31.866036493199999"/>
    <m/>
    <m/>
    <m/>
  </r>
  <r>
    <x v="6"/>
    <x v="12"/>
    <s v="Export Credit &amp; Insurance"/>
    <n v="600000000"/>
    <s v="Malawi Energy Regulatory Authority"/>
    <s v="China Gezhouba Group Company"/>
    <m/>
    <x v="82"/>
    <s v="http://malawianonline.com/business/borrow-to-grow-china-urges/"/>
    <x v="3"/>
    <x v="0"/>
    <x v="37"/>
    <s v="Zalewa, Neno"/>
    <s v="The first phase involves the construction of a 300MW (6X50MW) power plant and the second phase includes a 700MW coal-fired power plant."/>
    <s v="http://www.construction-ic.com/HomePage/Projects?ReturnUrl=%2FProjects%2FOverview%2F158448%3Futm_source%3Dworldconstructionnetwork%26utm_medium%3DReferral%26utm_campaign%3DMERA%2B%25E2%2580%2593%2BKam%25E2%2580%2599mwamba%2BCoal%2BFired%2BPower%2BPlant%2B1000%2BMW%2B%25E2%2580%2593%2BMalawi&amp;utm_source=worldconstructionnetwork&amp;utm_medium=Referral&amp;utm_campaign=MERA%20%E2%80%93%20Kam%E2%80%99mwamba%20Coal%20Fired%20Power%20Plant%201000%20MW%20%E2%80%93%20Malawi"/>
    <s v="http://www.sourcewatch.org/index.php/Kamwamba_power_station_x000a_"/>
    <x v="0"/>
    <s v="Coal Power Plant - New"/>
    <s v="Financing"/>
    <n v="300"/>
    <n v="0.34142181957000001"/>
    <n v="13.656872782800001"/>
    <m/>
    <m/>
    <m/>
  </r>
  <r>
    <x v="6"/>
    <x v="15"/>
    <s v="TBD"/>
    <m/>
    <s v="POSCO (Korea) and MCS"/>
    <s v="China Nuclear Industry 22nd Construction Co."/>
    <m/>
    <x v="83"/>
    <s v="http://mn.mofcom.gov.cn/article/zxhz/zzjg/201504/20150400932435.shtml"/>
    <x v="3"/>
    <x v="8"/>
    <x v="38"/>
    <m/>
    <s v="construction started 2015"/>
    <s v="http://www.sourcewatch.org/index.php/Baganuur_power_station_(POSCO/MCS)"/>
    <m/>
    <x v="0"/>
    <s v="Coal Power Plant - New"/>
    <s v="Financing"/>
    <n v="700"/>
    <n v="0.79665091232999996"/>
    <n v="31.866036493199999"/>
    <m/>
    <m/>
    <m/>
  </r>
  <r>
    <x v="6"/>
    <x v="15"/>
    <s v="TBD"/>
    <m/>
    <s v="PROPHECY POWER GENERATION LLC"/>
    <s v="SEPCO2"/>
    <m/>
    <x v="84"/>
    <s v="http://fscwire.com/sites/default/files/news_release_pdf/ProphecyDec182015.pdf"/>
    <x v="3"/>
    <x v="8"/>
    <x v="38"/>
    <s v="Hovsgol"/>
    <m/>
    <s v="http://www.prophecydev.com/projects/chandgana-power-plant/"/>
    <m/>
    <x v="0"/>
    <m/>
    <s v="Planned"/>
    <n v="300"/>
    <n v="0.34142181957000001"/>
    <n v="13.656872782800001"/>
    <m/>
    <m/>
    <m/>
  </r>
  <r>
    <x v="6"/>
    <x v="15"/>
    <s v="TBD"/>
    <m/>
    <s v="PROPHECY POWER GENERATION LLC"/>
    <s v="SEPCO2"/>
    <m/>
    <x v="85"/>
    <m/>
    <x v="3"/>
    <x v="8"/>
    <x v="38"/>
    <s v="Hovsgol"/>
    <m/>
    <m/>
    <m/>
    <x v="0"/>
    <m/>
    <s v="Planned"/>
    <n v="300"/>
    <n v="0.34142181957000001"/>
    <n v="13.656872782800001"/>
    <m/>
    <m/>
    <m/>
  </r>
  <r>
    <x v="6"/>
    <x v="15"/>
    <s v="TBD"/>
    <m/>
    <m/>
    <m/>
    <m/>
    <x v="86"/>
    <s v="https://ijglobal.com/data/transaction/32615/tavan-tolgoi-coking-coal-project"/>
    <x v="3"/>
    <x v="8"/>
    <x v="38"/>
    <m/>
    <s v="China is tenatively the funding country, but as the insititution is unidentified, the country has been left blank."/>
    <m/>
    <m/>
    <x v="0"/>
    <s v="Coal Power Plant - New"/>
    <s v="Financing"/>
    <m/>
    <n v="0"/>
    <n v="0"/>
    <m/>
    <m/>
    <m/>
  </r>
  <r>
    <x v="6"/>
    <x v="15"/>
    <s v="TBD"/>
    <n v="1000000000"/>
    <s v="Mogul Power"/>
    <s v="SEPCO III"/>
    <m/>
    <x v="87"/>
    <s v="http://www.newtearoad.com/Article.php?id=2615"/>
    <x v="3"/>
    <x v="8"/>
    <x v="38"/>
    <s v="Dundgovi Province"/>
    <s v="China is tenatively the funding country, but as the insititution is unidentified, the country has been left blank."/>
    <s v="http://www.sourcewatch.org/index.php/Tevshiin_Gobi_power_station"/>
    <m/>
    <x v="0"/>
    <s v="Coal Power Plant - New"/>
    <s v="Financing"/>
    <n v="600"/>
    <n v="0.68284363914000001"/>
    <n v="27.313745565600001"/>
    <m/>
    <m/>
    <m/>
  </r>
  <r>
    <x v="6"/>
    <x v="20"/>
    <s v="TBD"/>
    <m/>
    <s v="Skoda Praha"/>
    <s v="GE"/>
    <m/>
    <x v="88"/>
    <s v="http://bankwatch.org/our-work/projects/pljevlja-ii-lignite-power-plant-montenegro"/>
    <x v="3"/>
    <x v="3"/>
    <x v="39"/>
    <m/>
    <s v="Skoda expects to present a final proposal of the financial structure and financing conditions for the project by the end of February"/>
    <s v="http://www.kingsofcoal.org/case-studies/pljevlja-ii"/>
    <s v="http://www.reuters.com/article/idUSL5N1FR3G1"/>
    <x v="0"/>
    <s v="Coal power plant - expansion"/>
    <s v="Financing"/>
    <n v="254"/>
    <n v="0.28907047390259999"/>
    <n v="11.562818956104"/>
    <m/>
    <m/>
    <m/>
  </r>
  <r>
    <x v="6"/>
    <x v="19"/>
    <s v="TBD"/>
    <m/>
    <s v="OFF NATL L'ELEC L'EAU (ONEE)"/>
    <s v="SEPCO3"/>
    <m/>
    <x v="89"/>
    <m/>
    <x v="3"/>
    <x v="7"/>
    <x v="21"/>
    <s v="L'Oriental"/>
    <m/>
    <m/>
    <m/>
    <x v="0"/>
    <m/>
    <s v="Planned"/>
    <n v="318"/>
    <n v="0.3619071287442"/>
    <n v="14.476285149768"/>
    <m/>
    <m/>
    <m/>
  </r>
  <r>
    <x v="6"/>
    <x v="21"/>
    <s v="TBD"/>
    <m/>
    <s v="Ncondezi Energy and Shanghai Electric Power"/>
    <m/>
    <m/>
    <x v="90"/>
    <s v="https://ijglobal.com/data/transaction/32141/ncondezi-coal-fired-power-plant-300mw"/>
    <x v="3"/>
    <x v="0"/>
    <x v="40"/>
    <s v="Tete"/>
    <s v="The 300MW is the first phase of the development, which Ncondezi plans to step up to a total of 1,800MW in 300MW phases."/>
    <m/>
    <s v="http://www.sourcewatch.org/index.php/Ncondezi_power_station"/>
    <x v="0"/>
    <s v="Coal power plant - expansion"/>
    <s v="Financing"/>
    <n v="1500"/>
    <n v="1.7071090978500003"/>
    <n v="68.284363914000011"/>
    <m/>
    <m/>
    <m/>
  </r>
  <r>
    <x v="6"/>
    <x v="21"/>
    <s v="TBD"/>
    <m/>
    <s v="Ncondezi Energy and Shanghai Electric Power"/>
    <m/>
    <m/>
    <x v="91"/>
    <s v="https://ijglobal.com/data/transaction/32141/ncondezi-coal-fired-power-plant-300mw"/>
    <x v="3"/>
    <x v="0"/>
    <x v="40"/>
    <s v="Tete"/>
    <s v="The deal will see SEP take a 60% stake in project company Ncondezi Power Company, providing $25.5 million in equity funding to match Ncondezi’s $17 million historic costs of development.  expected to cost around $1 billion in total including the cost of a 90km transmission line connecting the project to the grid. The project’s debt-to-equity ratio is expected to be around 70:30. expected to be mostly funded by development finance institutions, SEP will be responsible for garnering all of the commercial debt, likely to be from Chinese financiers. SEP will also undertake operations and maintenance work for the life of the plant._x000a_The plant will be fired on coal from a Ncondezi-owned open pit mine producing around 1.2 million tonnes of coal per year. A 25-year power purchase agreement paid in US dollars is at an “advanced draft” stage and is expected to be finalised shortly after the joint development agreement, or in the first quarter of 2017. State utility Electricidade de Mocambique is the offtaker._x000a_The 300MW is the first phase of the development, which Ncondezi plans to step up to a total of 1,800MW in 300MW phases."/>
    <s v="http://www.bankinformationcenter.org/wp-content/uploads/2017/01/MOZAMBIQUE-DPF-FORMATTED-1.11.17-1.pdf"/>
    <s v="http://www.sourcewatch.org/index.php/Ncondezi_power_station"/>
    <x v="0"/>
    <s v="Coal Power Plant - New"/>
    <s v="Financing"/>
    <n v="300"/>
    <n v="0.34142181957000001"/>
    <n v="13.656872782800001"/>
    <m/>
    <m/>
    <m/>
  </r>
  <r>
    <x v="6"/>
    <x v="15"/>
    <s v="TBD"/>
    <n v="168000000"/>
    <s v="Eden Group, Shan Yoma Nagar"/>
    <s v="China Heavy Machinery/ Wuxi Huagaung Electric Power Engineering "/>
    <m/>
    <x v="92"/>
    <s v="http://www.mmtimes.com/index.php/national-news/24647-as-possible-restart-of-tigyit-coal-plant-looms-opposition-rallies.html"/>
    <x v="3"/>
    <x v="6"/>
    <x v="41"/>
    <s v="Shan State"/>
    <s v="China is tenatively the funding country, but as the insititution is unidentified, the country has been left blank."/>
    <s v="http://www.mmtimes.com/index.php/business/20010-chinese-firm-to-restart-myanmar-s-only-coal-plant.html"/>
    <s v="https://energy.frontiermyanmar.com/sites/all/libraries/ckfinder/userfiles/files/MEB%203%20November%202016(1).pdf"/>
    <x v="0"/>
    <s v="Coal Power Plant - Existing"/>
    <s v="Financing"/>
    <n v="120"/>
    <n v="0.13656872782800003"/>
    <n v="5.462749113120001"/>
    <m/>
    <m/>
    <m/>
  </r>
  <r>
    <x v="6"/>
    <x v="19"/>
    <s v="TBD"/>
    <m/>
    <s v="PACIFIC HOLDINGS"/>
    <s v="SEPCO3"/>
    <m/>
    <x v="93"/>
    <m/>
    <x v="3"/>
    <x v="0"/>
    <x v="0"/>
    <s v="Benue"/>
    <m/>
    <m/>
    <m/>
    <x v="0"/>
    <m/>
    <s v="Planned"/>
    <n v="600"/>
    <n v="0.68284363914000001"/>
    <n v="27.313745565600001"/>
    <m/>
    <m/>
    <m/>
  </r>
  <r>
    <x v="6"/>
    <x v="19"/>
    <s v="TBD"/>
    <m/>
    <s v="PACIFIC HOLDINGS"/>
    <s v="SEPCO3"/>
    <m/>
    <x v="94"/>
    <m/>
    <x v="3"/>
    <x v="0"/>
    <x v="0"/>
    <s v="Benue"/>
    <m/>
    <m/>
    <m/>
    <x v="0"/>
    <m/>
    <s v="Planned"/>
    <n v="600"/>
    <n v="0.68284363914000001"/>
    <n v="27.313745565600001"/>
    <m/>
    <m/>
    <m/>
  </r>
  <r>
    <x v="6"/>
    <x v="19"/>
    <s v="TBD"/>
    <m/>
    <s v="SIDDIQSONS ENERGY"/>
    <s v="HARBIN"/>
    <s v="HARBIN"/>
    <x v="95"/>
    <m/>
    <x v="3"/>
    <x v="5"/>
    <x v="19"/>
    <s v="Sindh"/>
    <m/>
    <m/>
    <m/>
    <x v="0"/>
    <m/>
    <s v="Planned"/>
    <n v="350"/>
    <n v="0.39832545616499998"/>
    <n v="15.9330182466"/>
    <m/>
    <m/>
    <m/>
  </r>
  <r>
    <x v="6"/>
    <x v="11"/>
    <s v="Other Public Financer"/>
    <n v="1500000000"/>
    <s v="Eskom"/>
    <m/>
    <m/>
    <x v="96"/>
    <s v="http://www.climatechangenews.com/2017/07/12/china-signed-african-coal-deal-days-xi-low-emissions-pledge-g20/"/>
    <x v="3"/>
    <x v="0"/>
    <x v="1"/>
    <m/>
    <s v="Should this already count as closed?"/>
    <m/>
    <m/>
    <x v="0"/>
    <s v="Coal Power Plant - New"/>
    <m/>
    <m/>
    <n v="0"/>
    <n v="0"/>
    <m/>
    <m/>
    <m/>
  </r>
  <r>
    <x v="6"/>
    <x v="13"/>
    <s v="Export Credit &amp; Insurance"/>
    <n v="1492000000"/>
    <s v="China Power Hub Generation Company (Private) Limited (CPHGC), HUBCO and Private Power Infrastructure Board (PPIB) "/>
    <m/>
    <m/>
    <x v="97"/>
    <s v="https://ijglobal.com/articles/104533/pakistan-signs-on-two-china-corridor-coal-fired-projects"/>
    <x v="3"/>
    <x v="5"/>
    <x v="19"/>
    <s v="Hub, Balochistan"/>
    <s v="estimated cost of over $2billion. Exim Bank of China, China Development Bank, and the Industrial and Commercial Bank of China potentially._x000a_the groundwork has started with equity money. And one unit already constructed"/>
    <s v="http://www.pcq.com.pk/hubco-allowed-build-two-imported-coal-based-plants/"/>
    <s v="http://nation.com.pk/national/28-Jan-2017/certain-issues-need-to-be-streamlined_x000a_https://tribune.com.pk/story/1330482/cpec-energy-projects-pakistan-china-revise-priority-list/"/>
    <x v="0"/>
    <s v="Coal Power Plant - New"/>
    <s v="Financing"/>
    <n v="1320"/>
    <n v="1.5022560061080001"/>
    <n v="60.090240244320007"/>
    <m/>
    <m/>
    <m/>
  </r>
  <r>
    <x v="6"/>
    <x v="19"/>
    <s v="TBD"/>
    <m/>
    <s v="HARBIN ELECTRIC INTERNATIONAL"/>
    <m/>
    <s v="HARBIN"/>
    <x v="98"/>
    <m/>
    <x v="3"/>
    <x v="5"/>
    <x v="19"/>
    <s v="Sindh"/>
    <m/>
    <m/>
    <m/>
    <x v="0"/>
    <m/>
    <s v="Planned"/>
    <n v="660"/>
    <n v="0.75112800305400007"/>
    <n v="30.045120122160004"/>
    <m/>
    <m/>
    <m/>
  </r>
  <r>
    <x v="6"/>
    <x v="15"/>
    <s v="TBD"/>
    <m/>
    <s v="Sindh Coal Authority"/>
    <m/>
    <m/>
    <x v="99"/>
    <s v="http://www.sourcewatch.org/index.php/Keti_Bandar_power_station"/>
    <x v="3"/>
    <x v="5"/>
    <x v="19"/>
    <s v="Keti Bandar, Sindh"/>
    <s v="power station and coal jetty are to be part of the China-Pakistan Economic Zone"/>
    <m/>
    <m/>
    <x v="0"/>
    <s v="Coal Power Plant - New"/>
    <s v="Planned"/>
    <n v="1320"/>
    <n v="1.5022560061080001"/>
    <n v="60.090240244320007"/>
    <m/>
    <m/>
    <m/>
  </r>
  <r>
    <x v="6"/>
    <x v="15"/>
    <s v="TBD"/>
    <m/>
    <m/>
    <m/>
    <m/>
    <x v="100"/>
    <s v="http://nation.com.pk/national/28-Jan-2017/certain-issues-need-to-be-streamlined"/>
    <x v="3"/>
    <x v="5"/>
    <x v="19"/>
    <m/>
    <s v="priority list for 2017-2018"/>
    <m/>
    <s v="http://www.sourcewatch.org/index.php/Mouza_Saddan_Wali_power_station"/>
    <x v="0"/>
    <s v="Coal Power Plant - New"/>
    <s v="Financing"/>
    <n v="1320"/>
    <n v="1.5022560061080001"/>
    <n v="60.090240244320007"/>
    <m/>
    <m/>
    <m/>
  </r>
  <r>
    <x v="6"/>
    <x v="15"/>
    <s v="TBD"/>
    <m/>
    <m/>
    <m/>
    <m/>
    <x v="101"/>
    <s v="https://tribune.com.pk/story/1330482/cpec-energy-projects-pakistan-china-revise-priority-list/"/>
    <x v="3"/>
    <x v="5"/>
    <x v="19"/>
    <m/>
    <s v="priority list for 2017-2018"/>
    <m/>
    <m/>
    <x v="0"/>
    <s v="Coal Power Plant - New"/>
    <s v="Financing"/>
    <n v="1320"/>
    <n v="1.5022560061080001"/>
    <n v="60.090240244320007"/>
    <m/>
    <m/>
    <m/>
  </r>
  <r>
    <x v="6"/>
    <x v="19"/>
    <s v="TBD"/>
    <m/>
    <s v="CHINA DATANG OVERSEAS INVEST"/>
    <s v="CMEC"/>
    <m/>
    <x v="102"/>
    <m/>
    <x v="3"/>
    <x v="5"/>
    <x v="19"/>
    <s v="Sindh"/>
    <m/>
    <m/>
    <m/>
    <x v="0"/>
    <m/>
    <s v="Planned"/>
    <n v="350"/>
    <n v="0.39832545616499998"/>
    <n v="15.9330182466"/>
    <m/>
    <m/>
    <m/>
  </r>
  <r>
    <x v="6"/>
    <x v="19"/>
    <s v="TBD"/>
    <m/>
    <s v="CHINA DATANG OVERSEAS INVEST"/>
    <s v="CMEC"/>
    <m/>
    <x v="103"/>
    <m/>
    <x v="3"/>
    <x v="5"/>
    <x v="19"/>
    <s v="Sindh"/>
    <m/>
    <m/>
    <m/>
    <x v="0"/>
    <m/>
    <s v="Planned"/>
    <n v="350"/>
    <n v="0.39832545616499998"/>
    <n v="15.9330182466"/>
    <m/>
    <m/>
    <m/>
  </r>
  <r>
    <x v="6"/>
    <x v="19"/>
    <s v="TBD"/>
    <m/>
    <s v="LUCKY ELECTRIC POWER CO LTD"/>
    <s v="SEPCO3"/>
    <m/>
    <x v="104"/>
    <m/>
    <x v="3"/>
    <x v="5"/>
    <x v="19"/>
    <s v="Sindh"/>
    <m/>
    <m/>
    <m/>
    <x v="0"/>
    <m/>
    <s v="Planned"/>
    <n v="660"/>
    <n v="0.75112800305400007"/>
    <n v="30.045120122160004"/>
    <m/>
    <m/>
    <m/>
  </r>
  <r>
    <x v="6"/>
    <x v="15"/>
    <s v="TBD"/>
    <n v="956000000"/>
    <m/>
    <m/>
    <m/>
    <x v="105"/>
    <s v="https://tribune.com.pk/story/1330482/cpec-energy-projects-pakistan-china-revise-priority-list/"/>
    <x v="3"/>
    <x v="5"/>
    <x v="19"/>
    <m/>
    <s v="downgraded to its actively promoted list, which carries projects that will be completed in the next five years.  no transmission line at the project site."/>
    <s v="http://www.bu.edu/cgef/#/2016/EnergySource/Coal"/>
    <m/>
    <x v="0"/>
    <s v="Coal Power Plant - New"/>
    <s v="Financing"/>
    <n v="1320"/>
    <n v="1.5022560061080001"/>
    <n v="60.090240244320007"/>
    <m/>
    <m/>
    <m/>
  </r>
  <r>
    <x v="6"/>
    <x v="19"/>
    <s v="TBD"/>
    <m/>
    <s v="THAR COAL BLOCK-I POW GEN CO"/>
    <m/>
    <s v="SHANGHAI"/>
    <x v="106"/>
    <m/>
    <x v="3"/>
    <x v="5"/>
    <x v="19"/>
    <s v="Sindh"/>
    <m/>
    <m/>
    <m/>
    <x v="0"/>
    <m/>
    <s v="Planned"/>
    <n v="660"/>
    <n v="0.75112800305400007"/>
    <n v="30.045120122160004"/>
    <m/>
    <m/>
    <m/>
  </r>
  <r>
    <x v="6"/>
    <x v="19"/>
    <s v="TBD"/>
    <m/>
    <s v="THAR COAL BLOCK-I POW GEN CO"/>
    <m/>
    <s v="SHANGHAI"/>
    <x v="107"/>
    <m/>
    <x v="3"/>
    <x v="5"/>
    <x v="19"/>
    <s v="Sindh"/>
    <m/>
    <m/>
    <m/>
    <x v="0"/>
    <m/>
    <s v="Planned"/>
    <n v="660"/>
    <n v="0.75112800305400007"/>
    <n v="30.045120122160004"/>
    <m/>
    <m/>
    <m/>
  </r>
  <r>
    <x v="6"/>
    <x v="19"/>
    <s v="TBD"/>
    <m/>
    <s v="THAR ELECTRICITY (PVT) LTD"/>
    <s v="SEPCO"/>
    <m/>
    <x v="108"/>
    <m/>
    <x v="3"/>
    <x v="5"/>
    <x v="19"/>
    <s v="Sindh"/>
    <s v="may be a duplicate of the project Oracle Power Plant"/>
    <m/>
    <m/>
    <x v="0"/>
    <m/>
    <s v="Planned"/>
    <n v="300"/>
    <n v="0.34142181957000001"/>
    <n v="13.656872782800001"/>
    <m/>
    <m/>
    <m/>
  </r>
  <r>
    <x v="6"/>
    <x v="19"/>
    <s v="TBD"/>
    <m/>
    <s v="THAR ELECTRICITY (PVT) LTD"/>
    <s v="SEPCO"/>
    <m/>
    <x v="109"/>
    <m/>
    <x v="3"/>
    <x v="5"/>
    <x v="19"/>
    <s v="Sindh"/>
    <s v="may be a duplicate of the project Oracle Power Plant"/>
    <m/>
    <m/>
    <x v="0"/>
    <m/>
    <s v="Planned"/>
    <n v="300"/>
    <n v="0.34142181957000001"/>
    <n v="13.656872782800001"/>
    <m/>
    <m/>
    <m/>
  </r>
  <r>
    <x v="6"/>
    <x v="22"/>
    <s v="TBD"/>
    <m/>
    <s v="China Power Hub Generation Company (Private) Limited (CPHGC), HUBCO and Private Power Infrastructure Board (PPIB) "/>
    <m/>
    <m/>
    <x v="110"/>
    <s v="https://ijglobal.com/articles/104533/pakistan-signs-on-two-china-corridor-coal-fired-projects"/>
    <x v="3"/>
    <x v="5"/>
    <x v="19"/>
    <s v="Thar, Sindh"/>
    <m/>
    <s v="https://tribune.com.pk/story/1327172/windfall-chinese-coal-fired-projects/"/>
    <m/>
    <x v="0"/>
    <s v="Coal Power Plant - New"/>
    <s v="Financing"/>
    <n v="330"/>
    <n v="0.37556400152700004"/>
    <n v="15.022560061080002"/>
    <m/>
    <m/>
    <m/>
  </r>
  <r>
    <x v="6"/>
    <x v="19"/>
    <s v="TBD"/>
    <m/>
    <s v="MAGELLAN UTILITIES DEV CORP"/>
    <s v="SHANGHAI"/>
    <s v="SHANGHAI"/>
    <x v="111"/>
    <m/>
    <x v="3"/>
    <x v="6"/>
    <x v="14"/>
    <s v="Batangas (CALABARZON)"/>
    <m/>
    <m/>
    <m/>
    <x v="0"/>
    <m/>
    <s v="Planned"/>
    <n v="300"/>
    <n v="0.34142181957000001"/>
    <n v="13.656872782800001"/>
    <m/>
    <m/>
    <m/>
  </r>
  <r>
    <x v="6"/>
    <x v="19"/>
    <s v="TBD"/>
    <m/>
    <s v="COMPLEXUL ENERGETIC OLTENIA SA"/>
    <s v="CHEC"/>
    <m/>
    <x v="112"/>
    <m/>
    <x v="3"/>
    <x v="3"/>
    <x v="42"/>
    <s v="Gorj"/>
    <s v="non-EU"/>
    <m/>
    <m/>
    <x v="0"/>
    <m/>
    <s v="Planned"/>
    <n v="500"/>
    <n v="0.56903636595000007"/>
    <n v="22.761454638000004"/>
    <m/>
    <m/>
    <m/>
  </r>
  <r>
    <x v="6"/>
    <x v="19"/>
    <s v="TBD"/>
    <m/>
    <s v="SUDANESE THERMAL POWER GEN CO"/>
    <s v="HARBIN"/>
    <s v="HARBIN"/>
    <x v="113"/>
    <m/>
    <x v="3"/>
    <x v="0"/>
    <x v="43"/>
    <s v="Red Sea"/>
    <m/>
    <m/>
    <m/>
    <x v="0"/>
    <m/>
    <s v="Planned"/>
    <n v="200"/>
    <n v="0.22761454638"/>
    <n v="9.1045818551999993"/>
    <m/>
    <m/>
    <m/>
  </r>
  <r>
    <x v="6"/>
    <x v="19"/>
    <s v="TBD"/>
    <m/>
    <s v="SUDANESE THERMAL POWER GEN CO"/>
    <s v="HARBIN"/>
    <s v="HARBIN"/>
    <x v="114"/>
    <m/>
    <x v="3"/>
    <x v="0"/>
    <x v="43"/>
    <s v="Red Sea"/>
    <m/>
    <m/>
    <m/>
    <x v="0"/>
    <m/>
    <s v="Planned"/>
    <n v="200"/>
    <n v="0.22761454638"/>
    <n v="9.1045818551999993"/>
    <m/>
    <m/>
    <m/>
  </r>
  <r>
    <x v="6"/>
    <x v="19"/>
    <s v="TBD"/>
    <m/>
    <s v="SUDANESE THERMAL POWER GEN CO"/>
    <s v="HARBIN"/>
    <s v="HARBIN"/>
    <x v="115"/>
    <m/>
    <x v="3"/>
    <x v="0"/>
    <x v="43"/>
    <s v="Red Sea"/>
    <m/>
    <m/>
    <m/>
    <x v="0"/>
    <m/>
    <s v="Planned"/>
    <n v="200"/>
    <n v="0.22761454638"/>
    <n v="9.1045818551999993"/>
    <m/>
    <m/>
    <m/>
  </r>
  <r>
    <x v="6"/>
    <x v="15"/>
    <s v="TBD"/>
    <m/>
    <s v="Kibo Mining"/>
    <s v="SEPCO III "/>
    <m/>
    <x v="116"/>
    <s v="http://www.miningmx.com/news/energy/28078-absa-take-stake-kibos-300mw-coal-power-project/"/>
    <x v="3"/>
    <x v="0"/>
    <x v="44"/>
    <s v="Mbeya"/>
    <s v="$532M"/>
    <s v="http://allafrica.com/stories/201612010419.html"/>
    <s v="http://www.stockmarketwire.com/company-news/KIBO/Kibo-Mining_x000a_http://www.sharetrackin.com/subscribers/data/McGregor_news.asp_x000a_https://ijglobal.com/data/transaction/33870/mbeya-coal-to-power-project-mcpp"/>
    <x v="0"/>
    <s v="Coal Power Plant - New"/>
    <s v="Planned"/>
    <n v="300"/>
    <n v="0.34142181957000001"/>
    <n v="13.656872782800001"/>
    <m/>
    <m/>
    <m/>
  </r>
  <r>
    <x v="6"/>
    <x v="15"/>
    <s v="TBD"/>
    <m/>
    <s v="National Development Corporation and the Chinese Sichuan Hogda group in Mchuchuma"/>
    <m/>
    <m/>
    <x v="117"/>
    <s v="https://academic.oup.com/afraf/article/doi/10.1093/afraf/adx002/2991627/Competing-energy-narratives-in-Tanzania-towards?guestAccessKey=99ae5e3f-c51b-4ef2-aed5-b3afff8dd2ee"/>
    <x v="3"/>
    <x v="0"/>
    <x v="44"/>
    <s v="Southwest"/>
    <s v="$3 billion joint venture "/>
    <s v="http://africanbusinessmagazine.com/sectors/energy/tanzania-mbeya-coal-mine-agreed/"/>
    <m/>
    <x v="0"/>
    <s v="Coal Power Plant - New"/>
    <s v="Financing"/>
    <n v="600"/>
    <n v="0.68284363914000001"/>
    <n v="27.313745565600001"/>
    <m/>
    <m/>
    <m/>
  </r>
  <r>
    <x v="6"/>
    <x v="15"/>
    <s v="TBD"/>
    <m/>
    <s v="Edenville Energy"/>
    <s v="Sinohydro Corporation"/>
    <m/>
    <x v="118"/>
    <s v="http://www.tanzaniainvest.com/mining/china-rukwa-coal-project-sinohydro-edenville-mou"/>
    <x v="3"/>
    <x v="0"/>
    <x v="44"/>
    <s v="Southwest"/>
    <s v="Sinohydro's project team will also use their considerable experience of working with Chinese and other financial institutions to assist in exploring appropriate funding options available for development capital to be used_x000a__x000a_"/>
    <s v="http://endcoal.org/2016/08/chinas-growing-role-as-funder-of-africas-proposed-coal-plants/"/>
    <s v="http://www.4-traders.com/EDENVILLE-ENERGY-PLC-5033890/news/Edenville-Energy-Partnership-with-Sinohydro-Corporation-23-January-2017-Edenville-Energy-PLC-23736898/"/>
    <x v="0"/>
    <s v="Coal Power Plant - New"/>
    <s v="Financing"/>
    <m/>
    <n v="0"/>
    <n v="0"/>
    <m/>
    <m/>
    <m/>
  </r>
  <r>
    <x v="6"/>
    <x v="19"/>
    <s v="TBD"/>
    <m/>
    <s v="NATIONAL POWER SUPPLY PCL"/>
    <s v="A-POWER"/>
    <s v="SHANGHAI"/>
    <x v="119"/>
    <m/>
    <x v="3"/>
    <x v="6"/>
    <x v="45"/>
    <s v="Chachoengsao"/>
    <m/>
    <m/>
    <m/>
    <x v="0"/>
    <m/>
    <s v="Planned"/>
    <n v="135"/>
    <n v="0.15363981880649999"/>
    <n v="6.1455927522599998"/>
    <m/>
    <m/>
    <m/>
  </r>
  <r>
    <x v="6"/>
    <x v="19"/>
    <s v="TBD"/>
    <m/>
    <s v="NATIONAL POWER SUPPLY PCL"/>
    <s v="A-POWER"/>
    <s v="SHANGHAI"/>
    <x v="120"/>
    <m/>
    <x v="3"/>
    <x v="6"/>
    <x v="45"/>
    <s v="Chachoengsao"/>
    <m/>
    <m/>
    <m/>
    <x v="0"/>
    <m/>
    <s v="Planned"/>
    <n v="135"/>
    <n v="0.15363981880649999"/>
    <n v="6.1455927522599998"/>
    <m/>
    <m/>
    <m/>
  </r>
  <r>
    <x v="6"/>
    <x v="19"/>
    <s v="TBD"/>
    <m/>
    <s v="NATIONAL POWER SUPPLY PCL"/>
    <s v="A-POWER"/>
    <s v="SHANGHAI"/>
    <x v="121"/>
    <m/>
    <x v="3"/>
    <x v="6"/>
    <x v="45"/>
    <s v="Chachoengsao"/>
    <m/>
    <m/>
    <m/>
    <x v="0"/>
    <m/>
    <s v="Planned"/>
    <n v="135"/>
    <n v="0.15363981880649999"/>
    <n v="6.1455927522599998"/>
    <m/>
    <m/>
    <m/>
  </r>
  <r>
    <x v="6"/>
    <x v="19"/>
    <s v="TBD"/>
    <m/>
    <s v="NATIONAL POWER SUPPLY PCL"/>
    <s v="A-POWER"/>
    <s v="SHANGHAI"/>
    <x v="122"/>
    <m/>
    <x v="3"/>
    <x v="6"/>
    <x v="45"/>
    <s v="Chachoengsao"/>
    <m/>
    <m/>
    <m/>
    <x v="0"/>
    <m/>
    <s v="Planned"/>
    <n v="135"/>
    <n v="0.15363981880649999"/>
    <n v="6.1455927522599998"/>
    <m/>
    <m/>
    <m/>
  </r>
  <r>
    <x v="6"/>
    <x v="19"/>
    <s v="TBD"/>
    <m/>
    <s v="HATTAT  ENERJI VE MADEN TIC"/>
    <s v="HARBIN"/>
    <s v="HARBIN"/>
    <x v="123"/>
    <m/>
    <x v="3"/>
    <x v="3"/>
    <x v="46"/>
    <s v="Bartin"/>
    <m/>
    <m/>
    <m/>
    <x v="0"/>
    <m/>
    <s v="Planned"/>
    <n v="660"/>
    <n v="0.75112800305400007"/>
    <n v="30.045120122160004"/>
    <m/>
    <m/>
    <m/>
  </r>
  <r>
    <x v="6"/>
    <x v="19"/>
    <s v="TBD"/>
    <m/>
    <s v="HATTAT  ENERJI VE MADEN TIC"/>
    <s v="HARBIN"/>
    <s v="HARBIN"/>
    <x v="124"/>
    <m/>
    <x v="3"/>
    <x v="3"/>
    <x v="46"/>
    <s v="Bartin"/>
    <m/>
    <m/>
    <m/>
    <x v="0"/>
    <m/>
    <s v="Planned"/>
    <n v="660"/>
    <n v="0.75112800305400007"/>
    <n v="30.045120122160004"/>
    <m/>
    <m/>
    <m/>
  </r>
  <r>
    <x v="6"/>
    <x v="19"/>
    <s v="TBD"/>
    <m/>
    <s v="ETI SODA AS"/>
    <s v="CMEC"/>
    <m/>
    <x v="125"/>
    <m/>
    <x v="3"/>
    <x v="3"/>
    <x v="46"/>
    <s v="Ankara"/>
    <m/>
    <m/>
    <m/>
    <x v="0"/>
    <s v="Coal Power Plant - Captive"/>
    <s v="Planned"/>
    <n v="10"/>
    <n v="1.1380727318999998E-2"/>
    <n v="0.45522909275999995"/>
    <m/>
    <m/>
    <m/>
  </r>
  <r>
    <x v="6"/>
    <x v="19"/>
    <s v="TBD"/>
    <m/>
    <s v="ETI SODA AS"/>
    <s v="CMEC"/>
    <m/>
    <x v="126"/>
    <m/>
    <x v="3"/>
    <x v="3"/>
    <x v="46"/>
    <s v="Ankara"/>
    <m/>
    <m/>
    <m/>
    <x v="0"/>
    <s v="Coal Power Plant - Captive"/>
    <s v="Planned"/>
    <n v="10"/>
    <n v="1.1380727318999998E-2"/>
    <n v="0.45522909275999995"/>
    <m/>
    <m/>
    <m/>
  </r>
  <r>
    <x v="6"/>
    <x v="19"/>
    <s v="TBD"/>
    <m/>
    <s v="HIDRO-GEN ENERJI ITHALAT"/>
    <s v="HARBIN"/>
    <s v="HARBIN"/>
    <x v="127"/>
    <m/>
    <x v="3"/>
    <x v="3"/>
    <x v="46"/>
    <s v="Manisa"/>
    <m/>
    <m/>
    <m/>
    <x v="0"/>
    <m/>
    <s v="Planned"/>
    <n v="255"/>
    <n v="0.29020854663450002"/>
    <n v="11.608341865380002"/>
    <m/>
    <m/>
    <m/>
  </r>
  <r>
    <x v="6"/>
    <x v="19"/>
    <s v="TBD"/>
    <m/>
    <s v="HIDRO-GEN ENERJI ITHALAT"/>
    <s v="HARBIN"/>
    <s v="HARBIN"/>
    <x v="128"/>
    <m/>
    <x v="3"/>
    <x v="3"/>
    <x v="46"/>
    <s v="Manisa"/>
    <m/>
    <m/>
    <m/>
    <x v="0"/>
    <m/>
    <s v="Planned"/>
    <n v="255"/>
    <n v="0.29020854663450002"/>
    <n v="11.608341865380002"/>
    <m/>
    <m/>
    <m/>
  </r>
  <r>
    <x v="6"/>
    <x v="11"/>
    <s v="Other Public Financer"/>
    <n v="1300000000"/>
    <s v="Naftogaz"/>
    <m/>
    <m/>
    <x v="129"/>
    <s v="http://www.naftogaz.com/www/3/nakweben.nsf/0/222826C460B4DF3AC2257F9D00451F71?OpenDocument&amp;year=2016&amp;month=05&amp;nt=News&amp; "/>
    <x v="3"/>
    <x v="3"/>
    <x v="47"/>
    <m/>
    <s v="China Development Bank is waiting an official letter with a list of projects that Ukraine seeks to finance using the loan from the Economic Development and Trade Ministry._x000a__x000a__x000a_"/>
    <s v="http://www.forbes.com/sites/kenrapoza/2016/04/22/even-ukraine-is-turning-to-the-chinese-for-money/#2fdc28011319"/>
    <m/>
    <x v="0"/>
    <s v="Coal Power Plant - New"/>
    <s v="Financing"/>
    <m/>
    <n v="0"/>
    <n v="0"/>
    <m/>
    <m/>
    <m/>
  </r>
  <r>
    <x v="6"/>
    <x v="15"/>
    <s v="TBD"/>
    <m/>
    <s v="ACWA Power, Harbin Power, and Dubai Electricity &amp; Water Authority"/>
    <s v="HARBIN"/>
    <s v="ALSTOM"/>
    <x v="130"/>
    <s v="https://ijglobal.com/data/transaction/20604/hassyan-coal-fired-power-plant-phase-1-2400mw-ppp"/>
    <x v="3"/>
    <x v="7"/>
    <x v="17"/>
    <s v="Dubai"/>
    <m/>
    <s v="http://xn--boq62d51cyxaz4fmxkbmd48z5vk36g7mttvnup4ddz0a2ea.com/en.php/News/news_1_view/id/2064"/>
    <s v="http://www.sinosure.com.cn/sinosure/xwzx/xwgj/images/20160126/33250.pdf "/>
    <x v="0"/>
    <s v="Coal Power Plant - New"/>
    <s v="Financing"/>
    <n v="1200"/>
    <n v="1.36568727828"/>
    <n v="54.627491131200003"/>
    <m/>
    <m/>
    <m/>
  </r>
  <r>
    <x v="6"/>
    <x v="15"/>
    <s v="TBD"/>
    <m/>
    <s v="SUMMIT POWER GROUP LLC"/>
    <s v="SIE/HUAN"/>
    <s v="SIEMENS"/>
    <x v="131"/>
    <m/>
    <x v="3"/>
    <x v="9"/>
    <x v="48"/>
    <s v="TX"/>
    <m/>
    <m/>
    <m/>
    <x v="0"/>
    <m/>
    <s v="Planned"/>
    <n v="200"/>
    <n v="0.22761454638"/>
    <n v="9.1045818551999993"/>
    <m/>
    <m/>
    <m/>
  </r>
  <r>
    <x v="6"/>
    <x v="19"/>
    <s v="TBD"/>
    <m/>
    <s v="TAN TAO ENERGY CORP"/>
    <s v="CHEC"/>
    <m/>
    <x v="132"/>
    <m/>
    <x v="3"/>
    <x v="6"/>
    <x v="24"/>
    <s v="Kien Giang"/>
    <m/>
    <m/>
    <m/>
    <x v="0"/>
    <m/>
    <s v="Planned"/>
    <n v="660"/>
    <n v="0.75112800305400007"/>
    <n v="30.045120122160004"/>
    <m/>
    <m/>
    <m/>
  </r>
  <r>
    <x v="6"/>
    <x v="19"/>
    <s v="TBD"/>
    <m/>
    <s v="TAN TAO ENERGY CORP"/>
    <s v="CHEC"/>
    <m/>
    <x v="133"/>
    <m/>
    <x v="3"/>
    <x v="6"/>
    <x v="24"/>
    <s v="Kien Giang"/>
    <m/>
    <m/>
    <m/>
    <x v="0"/>
    <m/>
    <s v="Planned"/>
    <n v="660"/>
    <n v="0.75112800305400007"/>
    <n v="30.045120122160004"/>
    <m/>
    <m/>
    <m/>
  </r>
  <r>
    <x v="6"/>
    <x v="23"/>
    <s v="TBD"/>
    <n v="1320000000"/>
    <s v="African Power House and Sinohydro"/>
    <s v="Sinohydro"/>
    <s v="DONGFANG"/>
    <x v="134"/>
    <s v="http://south-energy.com/?page_id=78"/>
    <x v="3"/>
    <x v="0"/>
    <x v="26"/>
    <s v="Matabeleland North"/>
    <s v="Senior Debt 1 Chinese – US$ 1,320m – 85% of EPC (Risk Cover by Sinosure)"/>
    <m/>
    <m/>
    <x v="0"/>
    <s v="Coal power plant - new "/>
    <s v="Financing"/>
    <n v="660"/>
    <n v="0.75112800305400007"/>
    <n v="30.045120122160004"/>
    <m/>
    <m/>
    <m/>
  </r>
  <r>
    <x v="6"/>
    <x v="19"/>
    <s v="TBD"/>
    <m/>
    <s v="PER GROUP VENTURES (PVT) LTD"/>
    <s v="CSCEC"/>
    <m/>
    <x v="135"/>
    <m/>
    <x v="3"/>
    <x v="0"/>
    <x v="26"/>
    <s v="Matabeleland North"/>
    <m/>
    <m/>
    <m/>
    <x v="0"/>
    <m/>
    <s v="Planned"/>
    <n v="550"/>
    <n v="0.62594000254500004"/>
    <n v="25.037600101800003"/>
    <m/>
    <m/>
    <m/>
  </r>
  <r>
    <x v="6"/>
    <x v="19"/>
    <s v="TBD"/>
    <m/>
    <s v="PER GROUP VENTURES (PVT) LTD"/>
    <s v="CSCEC"/>
    <m/>
    <x v="136"/>
    <m/>
    <x v="3"/>
    <x v="0"/>
    <x v="26"/>
    <s v="Matabeleland North"/>
    <m/>
    <m/>
    <m/>
    <x v="0"/>
    <m/>
    <s v="Planned"/>
    <n v="550"/>
    <n v="0.62594000254500004"/>
    <n v="25.037600101800003"/>
    <m/>
    <m/>
    <m/>
  </r>
  <r>
    <x v="6"/>
    <x v="19"/>
    <s v="TBD"/>
    <m/>
    <s v="PER GROUP VENTURES (PVT) LTD"/>
    <s v="CSCEC"/>
    <m/>
    <x v="137"/>
    <m/>
    <x v="3"/>
    <x v="0"/>
    <x v="26"/>
    <s v="Matabeleland North"/>
    <m/>
    <m/>
    <m/>
    <x v="0"/>
    <m/>
    <s v="Planned"/>
    <n v="550"/>
    <n v="0.62594000254500004"/>
    <n v="25.037600101800003"/>
    <m/>
    <m/>
    <m/>
  </r>
  <r>
    <x v="6"/>
    <x v="12"/>
    <s v="Export Credit &amp; Insurance"/>
    <n v="1300000000"/>
    <s v="Southern Africa Shanghai Energizer Company (SASEC), JV of Shanghai Electric, Shenergy Co. Ltd. and Nan Jiang Group"/>
    <m/>
    <m/>
    <x v="138"/>
    <s v="https://ijglobal.com/data/transaction/32399/sasec-zimbabwe-coal-project"/>
    <x v="3"/>
    <x v="0"/>
    <x v="26"/>
    <s v="Gwayi, Matabeleland"/>
    <m/>
    <s v="http://www.herald.co.zw/chinese-firm-to-fund-gwayi-power-project http://source.co.zw/2013/12/chinese-firm-starts-work-on-gwayi-coal-mine-thermal-power-station http://www.newzimbabwe.com/news-13453-Work+starts+on+$1.3bln+power+station/news.aspx http://www.southerneye.co.zw/2013/12/11/600mw-gwayi-power-project-takes _x000a_http://www.sourcewatch.org/index.php/Gwayi_Mine_power_station"/>
    <s v="http://www.theindependent.co.zw/2016/06/16/zims-us2bn-solar-projects-resumes-two-years/"/>
    <x v="0"/>
    <s v="Coal power plant - new "/>
    <s v="Financing"/>
    <n v="1200"/>
    <n v="1.36568727828"/>
    <n v="54.627491131200003"/>
    <m/>
    <m/>
    <m/>
  </r>
  <r>
    <x v="6"/>
    <x v="13"/>
    <s v="Export Credit &amp; Insurance"/>
    <m/>
    <s v="One Energy (CLP Group and Mitsubishi Corporation)"/>
    <s v="Harbin-General Electric alliance"/>
    <s v="HARBIN"/>
    <x v="139"/>
    <s v="http://www.baobinhthuan.com.vn/kinh-te/ky-ket-hop-dong-xay-dung-nha-may-nhiet-dien-vinh-tan-3-tri-gia-hon-1144-ty-usd-61213.html"/>
    <x v="3"/>
    <x v="6"/>
    <x v="24"/>
    <s v="Binh Thuan province"/>
    <s v="1,980MW Vinh Tan 3 coal-fired power plant  is expected to close by the third quarter of 2017, IJGlobal will essentially be export-credit agency financed with Sinosure and China Development Bank acting as the cornerstone lenders."/>
    <s v="https://ijglobal.com/data/transaction/31931"/>
    <s v="http://www.jbic.go.jp/en/efforts/environment/projects/48375 "/>
    <x v="0"/>
    <s v="Coal Power Plant - New"/>
    <s v="Financing"/>
    <n v="990"/>
    <n v="1.1266920045809998"/>
    <n v="45.067680183239993"/>
    <m/>
    <m/>
    <m/>
  </r>
  <r>
    <x v="6"/>
    <x v="24"/>
    <s v="Other Public Financer"/>
    <m/>
    <s v="One Energy (CLP Group and Mitsubishi Corporation)"/>
    <s v="Harbin-General Electric alliance"/>
    <s v="HARBIN"/>
    <x v="139"/>
    <s v="http://www.baobinhthuan.com.vn/kinh-te/ky-ket-hop-dong-xay-dung-nha-may-nhiet-dien-vinh-tan-3-tri-gia-hon-1144-ty-usd-61213.html"/>
    <x v="3"/>
    <x v="6"/>
    <x v="24"/>
    <s v="Binh Thuan province"/>
    <s v="1,980MW Vinh Tan 3 coal-fired power plant  is expected to close by the third quarter of 2017, IJGlobal will essentially be export-credit agency financed with Sinosure and China Development Bank acting as the cornerstone lenders."/>
    <s v="https://ijglobal.com/data/transaction/31931"/>
    <s v="http://www.jbic.go.jp/en/efforts/environment/projects/48375 "/>
    <x v="0"/>
    <s v="Coal Power Plant - New"/>
    <s v="Financing"/>
    <n v="990"/>
    <n v="1.1266920045809998"/>
    <n v="45.067680183239993"/>
    <m/>
    <m/>
    <m/>
  </r>
  <r>
    <x v="6"/>
    <x v="15"/>
    <m/>
    <n v="640000000"/>
    <s v="HATTAT  ENERJI VE MADEN TIC"/>
    <s v="Dongfang Electric"/>
    <s v="HARBIN"/>
    <x v="140"/>
    <s v="http://www.hkexnews.hk/listedco/listconews/sehk/2016/0126/LTN20160126696.pdf"/>
    <x v="45"/>
    <x v="3"/>
    <x v="46"/>
    <s v="Bartin"/>
    <s v="may be stalled according to Platts, recheck later"/>
    <s v="http://www.sourcewatch.org/index.php/HEMA_Amasra_power_station_x000a_https://translate.google.com/translate?sl=zh-CN&amp;tl=en&amp;js=y&amp;prev=_t&amp;hl=en&amp;ie=UTF-8&amp;u=http%3A%2F%2Fwww.dec-ltd.cn%2Fdata%2Fimages%2F2016%2F08%2F8a6acdfc90080f0f20e080a64d63e88a.pdf&amp;edit-text="/>
    <m/>
    <x v="0"/>
    <s v="Coal Power Plant - New"/>
    <s v="Delayed"/>
    <n v="1320"/>
    <n v="1.5022560061080001"/>
    <n v="60.090240244320007"/>
    <m/>
    <m/>
    <m/>
  </r>
  <r>
    <x v="6"/>
    <x v="25"/>
    <m/>
    <m/>
    <s v="SANGHI CEMTECH"/>
    <m/>
    <m/>
    <x v="141"/>
    <m/>
    <x v="45"/>
    <x v="0"/>
    <x v="49"/>
    <s v="Rift Valley"/>
    <m/>
    <m/>
    <m/>
    <x v="0"/>
    <s v="Coal Power Plant - Captive"/>
    <s v="Deferred"/>
    <n v="60"/>
    <n v="6.8284363914000015E-2"/>
    <n v="2.7313745565600005"/>
    <m/>
    <m/>
    <m/>
  </r>
  <r>
    <x v="6"/>
    <x v="25"/>
    <m/>
    <m/>
    <s v="SANGHI CEMTECH"/>
    <m/>
    <m/>
    <x v="142"/>
    <m/>
    <x v="45"/>
    <x v="0"/>
    <x v="49"/>
    <s v="Rift Valley"/>
    <m/>
    <m/>
    <m/>
    <x v="0"/>
    <s v="Coal Power Plant - Captive"/>
    <s v="Deferred"/>
    <n v="60"/>
    <n v="6.8284363914000015E-2"/>
    <n v="2.7313745565600005"/>
    <m/>
    <m/>
    <m/>
  </r>
  <r>
    <x v="6"/>
    <x v="15"/>
    <m/>
    <m/>
    <s v="Ashuganj Power Station Company "/>
    <s v="Harbin Electric International Company Limited"/>
    <m/>
    <x v="143"/>
    <s v="http://www.sourcewatch.org/index.php/Barapukuria_Ashuganj_power_station"/>
    <x v="45"/>
    <x v="5"/>
    <x v="27"/>
    <s v="Rajshahi"/>
    <s v="at the mouth of Barapukuria coal mine in Dinajpur.; the decision to abandon the open-pit option would hamper further power plant development"/>
    <s v="http://www.dhakatribune.com/bangladesh/2016/10/14/13b-loan-sought-power/"/>
    <s v="http://www.apscl.com/home/oprojects_x000a_http://www.conveyorlogistics.com/ongoing-project/"/>
    <x v="0"/>
    <s v="Coal Power Plant - New"/>
    <s v="Deferred"/>
    <n v="1320"/>
    <n v="1.5022560061080001"/>
    <n v="60.090240244320007"/>
    <m/>
    <m/>
    <m/>
  </r>
  <r>
    <x v="6"/>
    <x v="19"/>
    <m/>
    <m/>
    <s v="PT TRUBA ALAM MANUNGGAL ENGRG"/>
    <s v="HEPSEC"/>
    <s v="SHANGHAI"/>
    <x v="144"/>
    <m/>
    <x v="45"/>
    <x v="6"/>
    <x v="20"/>
    <s v="Lampung"/>
    <m/>
    <m/>
    <m/>
    <x v="0"/>
    <m/>
    <s v="Deferred"/>
    <n v="30"/>
    <n v="3.4142181957000008E-2"/>
    <n v="1.3656872782800002"/>
    <m/>
    <m/>
    <m/>
  </r>
  <r>
    <x v="6"/>
    <x v="19"/>
    <m/>
    <m/>
    <s v="PT TRUBA ALAM MANUNGGAL ENGRG"/>
    <s v="HEPSEC"/>
    <s v="SHANGHAI"/>
    <x v="145"/>
    <m/>
    <x v="45"/>
    <x v="6"/>
    <x v="20"/>
    <s v="Lampung"/>
    <m/>
    <m/>
    <m/>
    <x v="0"/>
    <m/>
    <s v="Deferred"/>
    <n v="30"/>
    <n v="3.4142181957000008E-2"/>
    <n v="1.3656872782800002"/>
    <m/>
    <m/>
    <m/>
  </r>
  <r>
    <x v="6"/>
    <x v="19"/>
    <m/>
    <m/>
    <s v="PT TRUBA ALAM MANUNGGAL ENGRG"/>
    <s v="SHANGHAI"/>
    <s v="SHANGHAI"/>
    <x v="146"/>
    <m/>
    <x v="45"/>
    <x v="6"/>
    <x v="20"/>
    <s v="North Sumatra"/>
    <m/>
    <m/>
    <m/>
    <x v="0"/>
    <m/>
    <s v="Delayed"/>
    <n v="135"/>
    <n v="0.15363981880649999"/>
    <n v="6.1455927522599998"/>
    <m/>
    <m/>
    <m/>
  </r>
  <r>
    <x v="6"/>
    <x v="19"/>
    <m/>
    <m/>
    <s v="PT TRUBA ALAM MANUNGGAL ENGRG"/>
    <s v="SHANGHAI"/>
    <s v="SHANGHAI"/>
    <x v="147"/>
    <m/>
    <x v="45"/>
    <x v="6"/>
    <x v="20"/>
    <s v="North Sumatra"/>
    <m/>
    <m/>
    <m/>
    <x v="0"/>
    <m/>
    <s v="Delayed"/>
    <n v="135"/>
    <n v="0.15363981880649999"/>
    <n v="6.1455927522599998"/>
    <m/>
    <m/>
    <m/>
  </r>
  <r>
    <x v="6"/>
    <x v="19"/>
    <m/>
    <m/>
    <s v="NISHAT ENERGY LTD (NEL)"/>
    <s v="TBEA"/>
    <m/>
    <x v="148"/>
    <m/>
    <x v="45"/>
    <x v="5"/>
    <x v="19"/>
    <s v="Punjab"/>
    <m/>
    <m/>
    <m/>
    <x v="0"/>
    <m/>
    <s v="Deferred"/>
    <n v="660"/>
    <n v="0.75112800305400007"/>
    <n v="30.045120122160004"/>
    <m/>
    <m/>
    <m/>
  </r>
  <r>
    <x v="6"/>
    <x v="19"/>
    <m/>
    <m/>
    <s v="RUYI MASOOD TEXTILE PARK"/>
    <s v="SEPCO"/>
    <m/>
    <x v="149"/>
    <m/>
    <x v="45"/>
    <x v="5"/>
    <x v="19"/>
    <s v="Punjab"/>
    <m/>
    <m/>
    <m/>
    <x v="0"/>
    <s v="Coal Power Plant - Captive"/>
    <s v="Deferred"/>
    <n v="135"/>
    <n v="0.15363981880649999"/>
    <n v="6.1455927522599998"/>
    <m/>
    <m/>
    <m/>
  </r>
  <r>
    <x v="6"/>
    <x v="19"/>
    <m/>
    <m/>
    <s v="RUYI MASOOD TEXTILE PARK"/>
    <s v="SEPCO"/>
    <m/>
    <x v="150"/>
    <m/>
    <x v="45"/>
    <x v="5"/>
    <x v="19"/>
    <s v="Punjab"/>
    <m/>
    <m/>
    <m/>
    <x v="0"/>
    <s v="Coal Power Plant - Captive"/>
    <s v="Deferred"/>
    <n v="135"/>
    <n v="0.15363981880649999"/>
    <n v="6.1455927522599998"/>
    <m/>
    <m/>
    <m/>
  </r>
  <r>
    <x v="6"/>
    <x v="19"/>
    <m/>
    <m/>
    <s v="OGK-2 (SECOND GENERATION CO)"/>
    <s v="KV/HL3"/>
    <s v="HARBIN"/>
    <x v="151"/>
    <m/>
    <x v="45"/>
    <x v="8"/>
    <x v="18"/>
    <s v="Chelyabinsk Oblast"/>
    <m/>
    <m/>
    <m/>
    <x v="0"/>
    <m/>
    <s v="Deferred"/>
    <n v="660"/>
    <n v="0.75112800305400007"/>
    <n v="30.045120122160004"/>
    <m/>
    <m/>
    <m/>
  </r>
  <r>
    <x v="6"/>
    <x v="11"/>
    <s v="Other Public Financer"/>
    <n v="94000000"/>
    <s v="PT PLN Persero"/>
    <m/>
    <m/>
    <x v="152"/>
    <m/>
    <x v="4"/>
    <x v="6"/>
    <x v="20"/>
    <m/>
    <m/>
    <s v="http://www.sourcewatch.org/index.php/Teluk_Sirih_power_station_x000a_http://climatepolicyinitiative.org/wp-content/uploads/2015/11/Slowing-the-Growth-of-Coal-Power-Outside-China.pdf"/>
    <m/>
    <x v="1"/>
    <s v="Coal - Policy"/>
    <s v="Financial Close"/>
    <n v="224"/>
    <n v="0.25492829194560002"/>
    <n v="10.197131677824"/>
    <m/>
    <m/>
    <m/>
  </r>
  <r>
    <x v="6"/>
    <x v="11"/>
    <s v="Other Public Financer"/>
    <n v="900000000"/>
    <s v="PT SUMBER SEGARA PRIMADAYA"/>
    <m/>
    <s v="SHANGHAI"/>
    <x v="153"/>
    <s v="http://www.mofcom.gov.cn/article/i/jyjl/j/201304/20130400078299.shtml"/>
    <x v="46"/>
    <x v="6"/>
    <x v="20"/>
    <m/>
    <m/>
    <s v="http://www.sourcewatch.org/index.php/Cilacap_Sumber_power_station"/>
    <m/>
    <x v="1"/>
    <s v="Coal - Policy"/>
    <s v="Financial Close"/>
    <n v="660"/>
    <n v="0.75112800305400007"/>
    <n v="30.045120122160004"/>
    <m/>
    <m/>
    <m/>
  </r>
  <r>
    <x v="6"/>
    <x v="11"/>
    <s v="Other Public Financer"/>
    <n v="160000000"/>
    <s v="Adani Power"/>
    <m/>
    <m/>
    <x v="154"/>
    <s v="https://ijglobal.com/data/transaction/28581/gondia-coal-fired-project-additional-facility-3300mw"/>
    <x v="47"/>
    <x v="5"/>
    <x v="50"/>
    <m/>
    <s v="The total plant size is 3300MW, divided equally CDB, and ICBC. "/>
    <m/>
    <m/>
    <x v="1"/>
    <s v="Coal - Policy"/>
    <s v="Financial Close"/>
    <n v="1100"/>
    <n v="1.2518800050900001"/>
    <n v="50.075200203600005"/>
    <m/>
    <m/>
    <m/>
  </r>
  <r>
    <x v="6"/>
    <x v="0"/>
    <s v="Multilateral"/>
    <n v="12912441.209918099"/>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6"/>
    <x v="26"/>
    <s v="TBD"/>
    <n v="1500000000"/>
    <s v="Volta River Authority (VRA)"/>
    <s v="Shenzhen Energy Group Co. Ltd. of China (SEC)"/>
    <m/>
    <x v="155"/>
    <s v="http://www.ghanaweb.com/GhanaHomePage/NewsArchive/Let-s-consolidate-power-gains-with-coal-Jinapor-505542"/>
    <x v="3"/>
    <x v="0"/>
    <x v="34"/>
    <s v="Ekumfi Aboano District, Central Region"/>
    <s v="The project includes the construction of a coal port solely dedicated to taking delivery of imported coal."/>
    <s v="https://www.modernghana.com/news/731131/us15-billion-coal-power-project-rejected-by-government.html"/>
    <s v="http://www.sourcewatch.org/index.php/Aboano_power_station"/>
    <x v="1"/>
    <s v="Transport"/>
    <s v="Planned"/>
    <n v="0"/>
    <n v="0"/>
    <n v="0"/>
    <m/>
    <m/>
    <m/>
  </r>
  <r>
    <x v="6"/>
    <x v="15"/>
    <s v="TBD"/>
    <m/>
    <s v="Kazakh KazMunaiGas - Processing and Marketing JSC and China Kingho Energy Group signed an agreement to establish a joint venture - Karaganda CCI LLP."/>
    <s v="China Kingho Energy Group"/>
    <m/>
    <x v="156"/>
    <s v="http://www.inform.kz/eng/article/2813050"/>
    <x v="3"/>
    <x v="8"/>
    <x v="51"/>
    <s v="Karaganda"/>
    <s v="China is tenatively the funding country, but as the insititution is unidentified, the country has been left blank. value of the investment portfolio is estimated at $ 2.6"/>
    <s v="http://en.trend.az/casia/kazakhstan/2429083.html"/>
    <m/>
    <x v="1"/>
    <s v="Coal to synthetic fuel"/>
    <s v="Financing"/>
    <m/>
    <n v="0"/>
    <n v="0"/>
    <m/>
    <m/>
    <m/>
  </r>
  <r>
    <x v="6"/>
    <x v="11"/>
    <s v="Other Public Financer"/>
    <n v="52000000"/>
    <m/>
    <m/>
    <m/>
    <x v="157"/>
    <s v="https://ijglobal.com/data/transaction/26128/negrete-cuel-wind-farm-financing-33mw"/>
    <x v="48"/>
    <x v="4"/>
    <x v="10"/>
    <m/>
    <m/>
    <m/>
    <m/>
    <x v="3"/>
    <s v="Onshore Wind"/>
    <s v="Financial Close"/>
    <n v="33"/>
    <n v="3.7556400152700002E-2"/>
    <n v="1.5022560061080001"/>
    <m/>
    <n v="33"/>
    <m/>
  </r>
  <r>
    <x v="6"/>
    <x v="11"/>
    <s v="Other Public Financer"/>
    <n v="54850000"/>
    <m/>
    <m/>
    <m/>
    <x v="158"/>
    <s v="https://ijglobal.com/data/transaction/36256/white-rock-wind-farm-stage-1-175mw"/>
    <x v="49"/>
    <x v="2"/>
    <x v="3"/>
    <s v="Ashmore and Cartier Islands,Canberra,Coral Sea Islands,New South Wales,Northern Territory,Queensland,South Australia,Tasmania,Victoria,Western Australia"/>
    <m/>
    <m/>
    <m/>
    <x v="3"/>
    <s v="Onshore Wind"/>
    <s v="Financial Close"/>
    <n v="175"/>
    <n v="0.19916272808249999"/>
    <n v="7.9665091232999998"/>
    <m/>
    <n v="175"/>
    <m/>
  </r>
  <r>
    <x v="6"/>
    <x v="13"/>
    <s v="Export Credit &amp; Insurance"/>
    <n v="145000000"/>
    <s v="ENEL"/>
    <m/>
    <s v="JA Solar Holdings"/>
    <x v="159"/>
    <s v="https://tradefinanceanalytics.com/data/transaction/55654/ja-solar-holdings"/>
    <x v="50"/>
    <x v="4"/>
    <x v="29"/>
    <m/>
    <m/>
    <m/>
    <m/>
    <x v="3"/>
    <m/>
    <s v="Financial Close"/>
    <m/>
    <n v="0"/>
    <n v="0"/>
    <m/>
    <m/>
    <m/>
  </r>
  <r>
    <x v="6"/>
    <x v="15"/>
    <s v="TBD"/>
    <m/>
    <m/>
    <m/>
    <m/>
    <x v="160"/>
    <s v="http://nation.com.pk/national/28-Jan-2017/certain-issues-need-to-be-streamlined"/>
    <x v="3"/>
    <x v="5"/>
    <x v="19"/>
    <m/>
    <s v="Quaid-i-Azam Solar Park Bahawalpur of 1,000MW is worth $1,350 million, Dawood 50MW wind Farm, Bhambore, Sindh of 50 MW is worth $125 million and UEP 100MW wind Farm, Jhimpir, Sindh is worth $250 million. Sachal 50MW Wind Farm, Jhimpir is worth $134 million and Sunnec 50MW wind Farm Jhimpir is $ 125 million, Suki Kinari Hydropower Station in KPK is 870 MW worth $ 1,802 million and Karot Hydropower Station in AJK &amp; Punjab is 720 MW worth $ 1,420 million."/>
    <m/>
    <m/>
    <x v="3"/>
    <m/>
    <s v="Financing"/>
    <m/>
    <n v="0"/>
    <n v="0"/>
    <m/>
    <m/>
    <m/>
  </r>
  <r>
    <x v="7"/>
    <x v="27"/>
    <s v="Export Credit &amp; Insurance "/>
    <n v="55000000"/>
    <m/>
    <m/>
    <m/>
    <x v="161"/>
    <s v="https://ijglobal.com/data/transaction/19680/butendiek-offshore-wind-financing-288mw"/>
    <x v="51"/>
    <x v="3"/>
    <x v="13"/>
    <m/>
    <m/>
    <m/>
    <m/>
    <x v="3"/>
    <s v="Offshore Wind"/>
    <s v="Financial Close"/>
    <n v="288"/>
    <n v="0.32776494678719997"/>
    <n v="13.110597871487998"/>
    <m/>
    <n v="288"/>
    <m/>
  </r>
  <r>
    <x v="7"/>
    <x v="27"/>
    <s v="Export Credit &amp; Insurance "/>
    <n v="5560000"/>
    <m/>
    <m/>
    <m/>
    <x v="161"/>
    <s v="https://ijglobal.com/data/transaction/19680/butendiek-offshore-wind-financing-288mw"/>
    <x v="51"/>
    <x v="3"/>
    <x v="13"/>
    <m/>
    <m/>
    <m/>
    <m/>
    <x v="3"/>
    <s v="Offshore Wind"/>
    <s v="Financial Close"/>
    <m/>
    <n v="0"/>
    <n v="0"/>
    <m/>
    <m/>
    <m/>
  </r>
  <r>
    <x v="7"/>
    <x v="27"/>
    <s v="Export Credit &amp; Insurance "/>
    <n v="11040000"/>
    <m/>
    <m/>
    <m/>
    <x v="161"/>
    <s v="https://ijglobal.com/data/transaction/19680/butendiek-offshore-wind-financing-288mw"/>
    <x v="51"/>
    <x v="3"/>
    <x v="13"/>
    <m/>
    <m/>
    <m/>
    <m/>
    <x v="3"/>
    <s v="Offshore Wind"/>
    <s v="Financial Close"/>
    <m/>
    <n v="0"/>
    <n v="0"/>
    <m/>
    <m/>
    <m/>
  </r>
  <r>
    <x v="7"/>
    <x v="27"/>
    <s v="Export Credit &amp; Insurance "/>
    <n v="98960000"/>
    <m/>
    <m/>
    <m/>
    <x v="162"/>
    <s v="https://ijglobal.com/data/transaction/26446/pintado-wind-farm-financing-luz-de-mar-88mw"/>
    <x v="52"/>
    <x v="4"/>
    <x v="16"/>
    <m/>
    <m/>
    <m/>
    <m/>
    <x v="3"/>
    <s v="Onshore Wind"/>
    <s v="Financial Close"/>
    <n v="88"/>
    <n v="0.1001504004072"/>
    <n v="4.0060160162880001"/>
    <m/>
    <n v="88"/>
    <m/>
  </r>
  <r>
    <x v="7"/>
    <x v="27"/>
    <s v="Export Credit &amp; Insurance "/>
    <n v="4610000"/>
    <m/>
    <m/>
    <m/>
    <x v="163"/>
    <s v="https://ijglobal.com/data/transaction/27764/evermore-renewable-energy-chp-financing-158mw"/>
    <x v="11"/>
    <x v="3"/>
    <x v="52"/>
    <s v="Northern Ireland"/>
    <m/>
    <m/>
    <m/>
    <x v="3"/>
    <s v="Biomass"/>
    <s v="Financial Close"/>
    <n v="15.8"/>
    <n v="1.7981549164020002E-2"/>
    <n v="0.7192619665608001"/>
    <m/>
    <n v="15.8"/>
    <m/>
  </r>
  <r>
    <x v="7"/>
    <x v="27"/>
    <s v="Export Credit &amp; Insurance "/>
    <n v="89530000"/>
    <m/>
    <m/>
    <m/>
    <x v="8"/>
    <s v="https://ijglobal.com/data/transaction/27919/taralga-wind-farm-financing-1068mw"/>
    <x v="6"/>
    <x v="2"/>
    <x v="3"/>
    <s v="New South Wales"/>
    <m/>
    <m/>
    <m/>
    <x v="3"/>
    <s v="Onshore Wind"/>
    <s v="Financial Close"/>
    <n v="106.8"/>
    <n v="0.12154616776692"/>
    <n v="4.8618467106768"/>
    <m/>
    <n v="106.8"/>
    <m/>
  </r>
  <r>
    <x v="7"/>
    <x v="27"/>
    <s v="Export Credit &amp; Insurance "/>
    <n v="44640000"/>
    <m/>
    <m/>
    <m/>
    <x v="164"/>
    <s v="https://ijglobal.com/data/transaction/32424/widnes-biomass-plant-202mw"/>
    <x v="53"/>
    <x v="3"/>
    <x v="52"/>
    <s v="England"/>
    <m/>
    <m/>
    <m/>
    <x v="3"/>
    <s v="Biomass"/>
    <s v="Financial Close"/>
    <n v="20.2"/>
    <n v="2.2989069184380002E-2"/>
    <n v="0.91956276737520004"/>
    <m/>
    <n v="20.2"/>
    <m/>
  </r>
  <r>
    <x v="7"/>
    <x v="27"/>
    <s v="Export Credit &amp; Insurance "/>
    <n v="88500000"/>
    <m/>
    <m/>
    <m/>
    <x v="165"/>
    <s v="https://ijglobal.com/data/transaction/33576/tilbury-biomass-plant-40mw"/>
    <x v="54"/>
    <x v="3"/>
    <x v="52"/>
    <s v="England"/>
    <m/>
    <m/>
    <m/>
    <x v="3"/>
    <s v="Biomass"/>
    <s v="Financial Close"/>
    <n v="40"/>
    <n v="4.5522909275999994E-2"/>
    <n v="1.8209163710399998"/>
    <m/>
    <n v="40"/>
    <m/>
  </r>
  <r>
    <x v="7"/>
    <x v="27"/>
    <s v="Export Credit &amp; Insurance "/>
    <n v="204690000"/>
    <m/>
    <m/>
    <m/>
    <x v="166"/>
    <s v="https://ijglobal.com/data/transaction/19534/veja-mate-offshore-wind-farm-400mw"/>
    <x v="55"/>
    <x v="3"/>
    <x v="13"/>
    <m/>
    <m/>
    <m/>
    <m/>
    <x v="3"/>
    <s v="Offshore Wind"/>
    <s v="Financial Close"/>
    <n v="200"/>
    <n v="0.22761454638"/>
    <n v="9.1045818551999993"/>
    <m/>
    <n v="200"/>
    <m/>
  </r>
  <r>
    <x v="7"/>
    <x v="27"/>
    <s v="Export Credit &amp; Insurance "/>
    <n v="15410000"/>
    <m/>
    <m/>
    <m/>
    <x v="166"/>
    <s v="https://ijglobal.com/data/transaction/19534/veja-mate-offshore-wind-farm-400mw"/>
    <x v="55"/>
    <x v="3"/>
    <x v="13"/>
    <m/>
    <m/>
    <m/>
    <m/>
    <x v="3"/>
    <s v="Offshore Wind"/>
    <s v="Financial Close"/>
    <n v="200"/>
    <n v="0.22761454638"/>
    <n v="9.1045818551999993"/>
    <m/>
    <n v="200"/>
    <m/>
  </r>
  <r>
    <x v="7"/>
    <x v="28"/>
    <s v="Other Public Financer"/>
    <n v="0"/>
    <m/>
    <m/>
    <m/>
    <x v="167"/>
    <s v="https://ijglobal.com/data/transaction/16901/gabal-el-zeit-wind-farm-200mw"/>
    <x v="56"/>
    <x v="7"/>
    <x v="32"/>
    <m/>
    <m/>
    <m/>
    <m/>
    <x v="3"/>
    <s v="Onshore Wind"/>
    <s v="Financial Close"/>
    <n v="200"/>
    <n v="0.22761454638"/>
    <n v="9.1045818551999993"/>
    <m/>
    <n v="200"/>
    <m/>
  </r>
  <r>
    <x v="7"/>
    <x v="27"/>
    <s v="Export Credit &amp; Insurance "/>
    <n v="42880000"/>
    <m/>
    <m/>
    <m/>
    <x v="168"/>
    <s v="https://ijglobal.com/data/transaction/35843/project-skywalker-onshore-wind-farm-1gw-40-investment-facility"/>
    <x v="57"/>
    <x v="3"/>
    <x v="53"/>
    <m/>
    <m/>
    <m/>
    <m/>
    <x v="3"/>
    <s v="Onshore Wind"/>
    <s v="Financial Close"/>
    <n v="500"/>
    <n v="0.56903636595000007"/>
    <n v="22.761454638000004"/>
    <m/>
    <n v="500"/>
    <m/>
  </r>
  <r>
    <x v="7"/>
    <x v="27"/>
    <s v="Export Credit &amp; Insurance "/>
    <n v="85770000"/>
    <m/>
    <m/>
    <m/>
    <x v="168"/>
    <s v="https://ijglobal.com/data/transaction/35843/project-skywalker-onshore-wind-farm-1gw-40-investment-facility"/>
    <x v="57"/>
    <x v="3"/>
    <x v="53"/>
    <m/>
    <m/>
    <m/>
    <m/>
    <x v="3"/>
    <s v="Onshore Wind"/>
    <s v="Financial Close"/>
    <n v="500"/>
    <n v="0.56903636595000007"/>
    <n v="22.761454638000004"/>
    <m/>
    <n v="500"/>
    <m/>
  </r>
  <r>
    <x v="7"/>
    <x v="27"/>
    <s v="Export Credit &amp; Insurance "/>
    <n v="23590000"/>
    <m/>
    <m/>
    <m/>
    <x v="169"/>
    <s v="https://ijglobal.com/data/transaction/37132/low-marnham-biomass-chp-plant-42mw"/>
    <x v="58"/>
    <x v="3"/>
    <x v="52"/>
    <s v="England"/>
    <m/>
    <m/>
    <m/>
    <x v="3"/>
    <s v="Biomass"/>
    <s v="Financial Close"/>
    <n v="42"/>
    <n v="4.77990547398E-2"/>
    <n v="1.911962189592"/>
    <m/>
    <n v="42"/>
    <m/>
  </r>
  <r>
    <x v="7"/>
    <x v="27"/>
    <s v="Export Credit &amp; Insurance "/>
    <n v="30000000"/>
    <m/>
    <m/>
    <m/>
    <x v="170"/>
    <s v="https://ijglobal.com/data/transaction/28561/sainshand-wind-farm-55mw"/>
    <x v="3"/>
    <x v="8"/>
    <x v="38"/>
    <m/>
    <m/>
    <m/>
    <m/>
    <x v="3"/>
    <s v="Onshore Wind"/>
    <s v="Financing"/>
    <n v="55"/>
    <n v="6.2594000254499987E-2"/>
    <n v="2.5037600101799997"/>
    <m/>
    <n v="55"/>
    <m/>
  </r>
  <r>
    <x v="7"/>
    <x v="27"/>
    <s v="Export Credit &amp; Insurance"/>
    <n v="48000000"/>
    <m/>
    <m/>
    <m/>
    <x v="171"/>
    <s v="https://ijglobal.com/data/transaction/16820/jeneponto-1-wind-farm-625mw"/>
    <x v="3"/>
    <x v="6"/>
    <x v="20"/>
    <m/>
    <m/>
    <m/>
    <m/>
    <x v="3"/>
    <s v="Onshore Wind"/>
    <s v="Financing"/>
    <n v="20.83"/>
    <n v="2.3706055005477001E-2"/>
    <n v="0.94824220021908001"/>
    <m/>
    <n v="20.83"/>
    <m/>
  </r>
  <r>
    <x v="8"/>
    <x v="29"/>
    <s v="Other Public Financer"/>
    <n v="0"/>
    <m/>
    <m/>
    <m/>
    <x v="172"/>
    <s v="https://ijglobal.com/data/transaction/34017/atacama-1-solar-complex-210mw"/>
    <x v="3"/>
    <x v="4"/>
    <x v="10"/>
    <m/>
    <m/>
    <m/>
    <m/>
    <x v="3"/>
    <s v="Photovoltaic Solar,Thermal Solar"/>
    <s v="Financing"/>
    <n v="210"/>
    <n v="0.238995273699"/>
    <n v="9.5598109479600009"/>
    <m/>
    <n v="210"/>
    <m/>
  </r>
  <r>
    <x v="8"/>
    <x v="29"/>
    <s v="Other Public Financer"/>
    <n v="10000000"/>
    <m/>
    <m/>
    <m/>
    <x v="173"/>
    <s v="https://ijglobal.com/data/transaction/35666/oruro-solar-pv-plant-50mw"/>
    <x v="3"/>
    <x v="4"/>
    <x v="54"/>
    <m/>
    <m/>
    <m/>
    <m/>
    <x v="3"/>
    <s v="Photovoltaic Solar"/>
    <s v="Financing"/>
    <n v="50"/>
    <n v="5.6903636595000001E-2"/>
    <n v="2.2761454637999998"/>
    <m/>
    <n v="50"/>
    <m/>
  </r>
  <r>
    <x v="8"/>
    <x v="29"/>
    <s v="Other Public Financer"/>
    <n v="31980000"/>
    <m/>
    <m/>
    <m/>
    <x v="174"/>
    <s v="https://ijglobal.com/data/transaction/31751/ouagadougou-solar-pv-plant-30mw"/>
    <x v="3"/>
    <x v="0"/>
    <x v="55"/>
    <m/>
    <m/>
    <m/>
    <m/>
    <x v="3"/>
    <s v="Photovoltaic Solar"/>
    <s v="Financing"/>
    <n v="30"/>
    <n v="3.4142181957000008E-2"/>
    <n v="1.3656872782800002"/>
    <m/>
    <n v="30"/>
    <m/>
  </r>
  <r>
    <x v="9"/>
    <x v="30"/>
    <s v="Other Public Financer"/>
    <n v="1500000"/>
    <m/>
    <m/>
    <m/>
    <x v="175"/>
    <s v="https://ijglobal.com/data/transaction/30939/shamsuna-solar-pv-plant-10mw"/>
    <x v="59"/>
    <x v="7"/>
    <x v="56"/>
    <m/>
    <m/>
    <m/>
    <m/>
    <x v="3"/>
    <s v="Photovoltaic Solar"/>
    <s v="Financial Close"/>
    <n v="3.3333333333333335"/>
    <n v="3.7935757729999999E-3"/>
    <n v="0.15174303091999999"/>
    <m/>
    <n v="3.3333333333333335"/>
    <m/>
  </r>
  <r>
    <x v="9"/>
    <x v="30"/>
    <s v="Other Public Financer"/>
    <n v="10500000"/>
    <m/>
    <m/>
    <m/>
    <x v="176"/>
    <s v="https://ijglobal.com/data/transaction/30941/arabia-one-solar-pv-plant-10mw"/>
    <x v="60"/>
    <x v="7"/>
    <x v="56"/>
    <m/>
    <m/>
    <m/>
    <m/>
    <x v="3"/>
    <s v="Photovoltaic Solar"/>
    <s v="Financial Close"/>
    <n v="10"/>
    <n v="1.1380727318999998E-2"/>
    <n v="0.45522909275999995"/>
    <m/>
    <n v="10"/>
    <m/>
  </r>
  <r>
    <x v="9"/>
    <x v="30"/>
    <s v="Other Public Financer"/>
    <n v="4000000"/>
    <m/>
    <m/>
    <m/>
    <x v="177"/>
    <s v="https://ijglobal.com/data/transaction/30940/falcon-solar-pv-plant-21mw"/>
    <x v="61"/>
    <x v="7"/>
    <x v="56"/>
    <m/>
    <m/>
    <m/>
    <m/>
    <x v="3"/>
    <s v="Photovoltaic Solar"/>
    <s v="Financial Close"/>
    <n v="7"/>
    <n v="7.9665091233000005E-3"/>
    <n v="0.31866036493200001"/>
    <m/>
    <n v="7"/>
    <m/>
  </r>
  <r>
    <x v="9"/>
    <x v="30"/>
    <s v="Other Public Financer"/>
    <n v="7200000"/>
    <m/>
    <m/>
    <m/>
    <x v="178"/>
    <s v="https://ijglobal.com/data/transaction/30942/adenium-energy-capital-solar-pv-portfolio-30mw"/>
    <x v="62"/>
    <x v="7"/>
    <x v="56"/>
    <m/>
    <m/>
    <m/>
    <m/>
    <x v="3"/>
    <s v="Photovoltaic Solar"/>
    <s v="Financial Close"/>
    <n v="10"/>
    <n v="1.1380727318999998E-2"/>
    <n v="0.45522909275999995"/>
    <m/>
    <n v="10"/>
    <m/>
  </r>
  <r>
    <x v="9"/>
    <x v="30"/>
    <s v="Other Public Financer"/>
    <n v="8700000"/>
    <m/>
    <m/>
    <m/>
    <x v="179"/>
    <s v="https://ijglobal.com/data/transaction/31059/jordan-solar-one-pv-plant-20mw"/>
    <x v="62"/>
    <x v="7"/>
    <x v="56"/>
    <m/>
    <m/>
    <m/>
    <m/>
    <x v="3"/>
    <s v="Photovoltaic Solar"/>
    <s v="Financial Close"/>
    <n v="6.666666666666667"/>
    <n v="7.5871515459999999E-3"/>
    <n v="0.30348606183999999"/>
    <m/>
    <n v="6.666666666666667"/>
    <m/>
  </r>
  <r>
    <x v="9"/>
    <x v="30"/>
    <s v="Other Public Financer"/>
    <n v="5000000"/>
    <m/>
    <m/>
    <m/>
    <x v="180"/>
    <s v="https://ijglobal.com/data/transaction/33332/jordan-one-solar-pv-plant-664mw-ppp"/>
    <x v="63"/>
    <x v="7"/>
    <x v="56"/>
    <m/>
    <m/>
    <m/>
    <m/>
    <x v="3"/>
    <s v="Photovoltaic Solar"/>
    <s v="Financial Close"/>
    <n v="33.200000000000003"/>
    <n v="3.7784014699080007E-2"/>
    <n v="1.5113605879632002"/>
    <m/>
    <n v="33.200000000000003"/>
    <m/>
  </r>
  <r>
    <x v="10"/>
    <x v="0"/>
    <s v="Multilateral"/>
    <n v="7489013.7095569316"/>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10"/>
    <x v="31"/>
    <s v="Export Credit &amp; Insurance"/>
    <n v="83563944.476999998"/>
    <s v="Alstom Power Systems SA"/>
    <m/>
    <m/>
    <x v="181"/>
    <s v="http://www.coface.fr/content/download/46639/532929/version/4/file/Contrats+gtis+2%C3%A8me+trimestre+2013.pdf"/>
    <x v="64"/>
    <x v="0"/>
    <x v="1"/>
    <m/>
    <s v="This final loan was made sometime between April and June 2013. We have documented it as May to fall in the middle of that range and used the currency conversion rate for May 15."/>
    <m/>
    <m/>
    <x v="1"/>
    <s v="Coal - Policy"/>
    <s v="Financial Close"/>
    <n v="800"/>
    <n v="0.91045818552000002"/>
    <n v="36.418327420799997"/>
    <m/>
    <m/>
    <m/>
  </r>
  <r>
    <x v="10"/>
    <x v="3"/>
    <s v="Multilateral"/>
    <n v="18425663.35256977"/>
    <s v="EPS"/>
    <m/>
    <m/>
    <x v="7"/>
    <s v="http://www.ebrd.com/work-with-us/projects/psd/eps-restructuring.html"/>
    <x v="5"/>
    <x v="3"/>
    <x v="5"/>
    <m/>
    <s v="Financing for restructing of Serbian state-owned utility EPS, which is lignite-heavy and maintains plans for significant lignite expansion. _x000a__x000a_While not exclusively for coal, this investment is included because of EPS lignite expansion plans and lack of prior EBRD investments in EPS resulting in observable changes in supply mix or capacity addition plans."/>
    <s v="http://www.ebrd.com/news/2015/ebrd-supports-reform-of-serbias-power-sector-with-200-million-loan-to-eps.html_x000a_http://bankwatch.org/publications/issues-serbian-electricity-company-eps-need-be-addressed-within - New-ebrd-loan_x000a_http://bankwatch.org/bwmail/62/ebrd-digs-deeper-serbian-coal-king"/>
    <m/>
    <x v="1"/>
    <s v="Other"/>
    <s v="Financial Close"/>
    <m/>
    <n v="0"/>
    <n v="0"/>
    <m/>
    <m/>
    <m/>
  </r>
  <r>
    <x v="10"/>
    <x v="0"/>
    <s v="Multilateral"/>
    <n v="42125702.116257735"/>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10"/>
    <x v="32"/>
    <s v="Other Public Financer"/>
    <n v="38500000"/>
    <m/>
    <m/>
    <m/>
    <x v="182"/>
    <s v="https://ijglobal.com/data/transaction/26159/polesine-san-gabriel-wind-farm-financing-50mw"/>
    <x v="65"/>
    <x v="4"/>
    <x v="16"/>
    <m/>
    <m/>
    <m/>
    <m/>
    <x v="3"/>
    <s v="Onshore Wind"/>
    <s v="Financial Close"/>
    <n v="16.666666666666668"/>
    <n v="1.8967878864999999E-2"/>
    <n v="0.75871515459999994"/>
    <m/>
    <n v="16.666666666666668"/>
    <m/>
  </r>
  <r>
    <x v="10"/>
    <x v="32"/>
    <s v="Other Public Financer"/>
    <n v="16670000.000000002"/>
    <m/>
    <m/>
    <m/>
    <x v="182"/>
    <s v="https://ijglobal.com/data/transaction/26159/polesine-san-gabriel-wind-farm-financing-50mw"/>
    <x v="65"/>
    <x v="4"/>
    <x v="16"/>
    <m/>
    <m/>
    <m/>
    <m/>
    <x v="3"/>
    <s v="Onshore Wind"/>
    <s v="Financial Close"/>
    <n v="16.666666666666668"/>
    <n v="1.8967878864999999E-2"/>
    <n v="0.75871515459999994"/>
    <m/>
    <n v="16.666666666666668"/>
    <m/>
  </r>
  <r>
    <x v="10"/>
    <x v="33"/>
    <s v="Other Public Financer"/>
    <n v="136000000"/>
    <m/>
    <m/>
    <m/>
    <x v="183"/>
    <s v="https://ijglobal.com/data/transaction/21380/ouarzazate-thermal-solar-ipp-noor-phase-i-160mw"/>
    <x v="66"/>
    <x v="7"/>
    <x v="21"/>
    <m/>
    <m/>
    <m/>
    <m/>
    <x v="3"/>
    <s v="Photovoltaic Solar,Thermal Solar"/>
    <s v="Financial Close"/>
    <n v="26.666666666666668"/>
    <n v="3.0348606183999999E-2"/>
    <n v="1.21394424736"/>
    <m/>
    <n v="26.666666666666668"/>
    <m/>
  </r>
  <r>
    <x v="10"/>
    <x v="32"/>
    <s v="Other Public Financer"/>
    <n v="25000000"/>
    <m/>
    <m/>
    <m/>
    <x v="14"/>
    <s v="https://ijglobal.com/data/transaction/27761/pozo-almonte-and-calama-solar-financing-261mw"/>
    <x v="11"/>
    <x v="4"/>
    <x v="10"/>
    <m/>
    <m/>
    <m/>
    <m/>
    <x v="3"/>
    <s v="Photovoltaic Solar"/>
    <s v="Financial Close"/>
    <n v="26.1"/>
    <n v="2.9703698302589999E-2"/>
    <n v="1.1881479321035999"/>
    <m/>
    <n v="26.1"/>
    <m/>
  </r>
  <r>
    <x v="10"/>
    <x v="32"/>
    <s v="Other Public Financer"/>
    <n v="24000000"/>
    <m/>
    <m/>
    <m/>
    <x v="184"/>
    <s v="https://ijglobal.com/data/transaction/31139/ejre-solar-pv-plant-20mw"/>
    <x v="67"/>
    <x v="7"/>
    <x v="56"/>
    <m/>
    <m/>
    <m/>
    <m/>
    <x v="3"/>
    <s v="Photovoltaic Solar"/>
    <s v="Financial Close"/>
    <n v="20"/>
    <n v="2.2761454637999997E-2"/>
    <n v="0.91045818551999991"/>
    <m/>
    <n v="20"/>
    <m/>
  </r>
  <r>
    <x v="10"/>
    <x v="32"/>
    <s v="Other Public Financer"/>
    <n v="13000000"/>
    <m/>
    <m/>
    <m/>
    <x v="185"/>
    <s v="https://ijglobal.com/data/transaction/31137/green-land-solar-pv-plant-10mw"/>
    <x v="67"/>
    <x v="7"/>
    <x v="56"/>
    <m/>
    <m/>
    <m/>
    <m/>
    <x v="3"/>
    <s v="Photovoltaic Solar"/>
    <s v="Financial Close"/>
    <n v="10"/>
    <n v="1.1380727318999998E-2"/>
    <n v="0.45522909275999995"/>
    <m/>
    <n v="10"/>
    <m/>
  </r>
  <r>
    <x v="10"/>
    <x v="32"/>
    <s v="Other Public Financer"/>
    <n v="13000000"/>
    <m/>
    <m/>
    <m/>
    <x v="186"/>
    <s v="https://ijglobal.com/data/transaction/31136/oryx-solar-pv-plant-10mw"/>
    <x v="67"/>
    <x v="7"/>
    <x v="56"/>
    <m/>
    <m/>
    <m/>
    <m/>
    <x v="3"/>
    <s v="Photovoltaic Solar"/>
    <s v="Financial Close"/>
    <n v="10"/>
    <n v="1.1380727318999998E-2"/>
    <n v="0.45522909275999995"/>
    <m/>
    <n v="10"/>
    <m/>
  </r>
  <r>
    <x v="10"/>
    <x v="32"/>
    <s v="Other Public Financer"/>
    <n v="62050000"/>
    <m/>
    <m/>
    <m/>
    <x v="187"/>
    <s v="https://ijglobal.com/data/transaction/20234/lake-turkana-wind-farm-300mw"/>
    <x v="68"/>
    <x v="0"/>
    <x v="49"/>
    <m/>
    <m/>
    <m/>
    <m/>
    <x v="3"/>
    <s v="Onshore Wind"/>
    <s v="Financial Close"/>
    <n v="60"/>
    <n v="6.8284363914000015E-2"/>
    <n v="2.7313745565600005"/>
    <m/>
    <n v="60"/>
    <m/>
  </r>
  <r>
    <x v="10"/>
    <x v="32"/>
    <s v="Other Public Financer"/>
    <n v="11000000"/>
    <m/>
    <m/>
    <m/>
    <x v="188"/>
    <s v="https://ijglobal.com/data/transaction/32820/mecanismos-de-energia-renovable-mecer-solar-pv-plant-25mw"/>
    <x v="8"/>
    <x v="4"/>
    <x v="7"/>
    <m/>
    <m/>
    <m/>
    <m/>
    <x v="3"/>
    <s v="Photovoltaic Solar"/>
    <s v="Financial Close"/>
    <n v="6.25"/>
    <n v="7.1129545743750001E-3"/>
    <n v="0.28451818297499998"/>
    <m/>
    <n v="6.25"/>
    <m/>
  </r>
  <r>
    <x v="10"/>
    <x v="32"/>
    <s v="Other Public Financer"/>
    <n v="20000000"/>
    <m/>
    <m/>
    <m/>
    <x v="10"/>
    <s v="https://ijglobal.com/data/transaction/28135/penonome-ii-wind-farm-215mw"/>
    <x v="8"/>
    <x v="4"/>
    <x v="6"/>
    <m/>
    <m/>
    <m/>
    <m/>
    <x v="3"/>
    <s v="Onshore Wind"/>
    <s v="Financial Close"/>
    <n v="53.75"/>
    <n v="6.1171409339624998E-2"/>
    <n v="2.4468563735849997"/>
    <m/>
    <n v="53.75"/>
    <m/>
  </r>
  <r>
    <x v="10"/>
    <x v="32"/>
    <s v="Other Public Financer"/>
    <n v="8330000"/>
    <m/>
    <m/>
    <m/>
    <x v="189"/>
    <s v="https://ijglobal.com/data/transaction/32026/marcona-wind-farm-321mw"/>
    <x v="69"/>
    <x v="4"/>
    <x v="57"/>
    <m/>
    <m/>
    <m/>
    <m/>
    <x v="3"/>
    <s v="Onshore Wind"/>
    <s v="Financial Close"/>
    <n v="10.700000000000001"/>
    <n v="1.2177378231330003E-2"/>
    <n v="0.48709512925320009"/>
    <m/>
    <n v="10.700000000000001"/>
    <m/>
  </r>
  <r>
    <x v="10"/>
    <x v="32"/>
    <s v="Other Public Financer"/>
    <n v="15000000"/>
    <m/>
    <m/>
    <m/>
    <x v="190"/>
    <s v="https://ijglobal.com/data/transaction/26112/tres-hermanas-wind-farm-9715mw"/>
    <x v="69"/>
    <x v="4"/>
    <x v="57"/>
    <m/>
    <m/>
    <m/>
    <m/>
    <x v="3"/>
    <s v="Onshore Wind"/>
    <s v="Financial Close"/>
    <n v="32.383333333333333"/>
    <n v="3.6854588634695006E-2"/>
    <n v="1.4741835453878003"/>
    <m/>
    <n v="32.383333333333333"/>
    <m/>
  </r>
  <r>
    <x v="10"/>
    <x v="32"/>
    <s v="Other Public Financer"/>
    <n v="12130000"/>
    <s v="Gul Ahmed Wind Power Limited"/>
    <m/>
    <m/>
    <x v="191"/>
    <s v="https://ijglobal.com/data/transaction/32340/gul-ahmed-wind-power-plant-50mw"/>
    <x v="70"/>
    <x v="5"/>
    <x v="19"/>
    <m/>
    <m/>
    <m/>
    <m/>
    <x v="3"/>
    <s v="Onshore Wind"/>
    <s v="Financial Close"/>
    <n v="7.1428571428571432"/>
    <n v="8.1290909421428571E-3"/>
    <n v="0.32516363768571427"/>
    <m/>
    <n v="7.1428571428571432"/>
    <m/>
  </r>
  <r>
    <x v="10"/>
    <x v="32"/>
    <s v="Other Public Financer"/>
    <n v="3870000"/>
    <s v="Gul Ahmed Wind Power Limited"/>
    <m/>
    <m/>
    <x v="191"/>
    <s v="https://ijglobal.com/data/transaction/32340/gul-ahmed-wind-power-plant-50mw"/>
    <x v="70"/>
    <x v="5"/>
    <x v="19"/>
    <m/>
    <m/>
    <m/>
    <m/>
    <x v="3"/>
    <s v="Onshore Wind"/>
    <s v="Financial Close"/>
    <n v="7.1428571428571432"/>
    <n v="8.1290909421428571E-3"/>
    <n v="0.32516363768571427"/>
    <m/>
    <n v="7.1428571428571432"/>
    <m/>
  </r>
  <r>
    <x v="10"/>
    <x v="33"/>
    <s v="Other Public Financer"/>
    <n v="128100000"/>
    <m/>
    <m/>
    <m/>
    <x v="192"/>
    <s v="https://ijglobal.com/data/transaction/28128/noor-ii-concentrated-solar-power-csp-plant-200mw"/>
    <x v="62"/>
    <x v="7"/>
    <x v="21"/>
    <m/>
    <m/>
    <m/>
    <m/>
    <x v="3"/>
    <s v="Thermal Solar"/>
    <s v="Financial Close"/>
    <n v="33.333333333333336"/>
    <n v="3.7935757729999998E-2"/>
    <n v="1.5174303091999999"/>
    <m/>
    <n v="33.333333333333336"/>
    <m/>
  </r>
  <r>
    <x v="10"/>
    <x v="33"/>
    <s v="Other Public Financer"/>
    <n v="88100000"/>
    <m/>
    <m/>
    <m/>
    <x v="193"/>
    <s v="https://ijglobal.com/data/transaction/28129/noor-iii-concentrated-solar-power-csp-plant-150mw"/>
    <x v="62"/>
    <x v="7"/>
    <x v="21"/>
    <m/>
    <m/>
    <m/>
    <m/>
    <x v="3"/>
    <s v="Thermal Solar"/>
    <s v="Financial Close"/>
    <n v="25"/>
    <n v="2.8451818297500001E-2"/>
    <n v="1.1380727318999999"/>
    <m/>
    <n v="25"/>
    <m/>
  </r>
  <r>
    <x v="10"/>
    <x v="32"/>
    <s v="Other Public Financer"/>
    <n v="50000000"/>
    <m/>
    <m/>
    <m/>
    <x v="194"/>
    <s v="https://ijglobal.com/data/transaction/35310/alisios-wind-farms-80mw"/>
    <x v="71"/>
    <x v="4"/>
    <x v="58"/>
    <m/>
    <m/>
    <m/>
    <m/>
    <x v="3"/>
    <s v="Onshore Wind"/>
    <s v="Financial Close"/>
    <n v="40"/>
    <n v="4.5522909275999994E-2"/>
    <n v="1.8209163710399998"/>
    <m/>
    <n v="40"/>
    <m/>
  </r>
  <r>
    <x v="10"/>
    <x v="32"/>
    <s v="Other Public Financer"/>
    <n v="19600000"/>
    <m/>
    <m/>
    <m/>
    <x v="195"/>
    <s v="https://ijglobal.com/data/transaction/34823/los-loros-solar-pv-plant-54mw"/>
    <x v="72"/>
    <x v="4"/>
    <x v="10"/>
    <m/>
    <m/>
    <m/>
    <m/>
    <x v="3"/>
    <s v="Photovoltaic Solar"/>
    <s v="Financial Close"/>
    <n v="27"/>
    <n v="3.0727963761299999E-2"/>
    <n v="1.2291185504519999"/>
    <m/>
    <n v="27"/>
    <m/>
  </r>
  <r>
    <x v="10"/>
    <x v="32"/>
    <s v="Other Public Financer"/>
    <n v="50000000"/>
    <m/>
    <m/>
    <m/>
    <x v="196"/>
    <s v="https://ijglobal.com/data/transaction/35855/al-rajef-wind-farm-82mw"/>
    <x v="73"/>
    <x v="7"/>
    <x v="56"/>
    <m/>
    <m/>
    <m/>
    <m/>
    <x v="3"/>
    <s v="Onshore Wind"/>
    <s v="Financial Close"/>
    <n v="82"/>
    <n v="9.3321964015800007E-2"/>
    <n v="3.7328785606320003"/>
    <m/>
    <n v="82"/>
    <m/>
  </r>
  <r>
    <x v="10"/>
    <x v="32"/>
    <s v="Other Public Financer"/>
    <n v="30000000"/>
    <m/>
    <m/>
    <m/>
    <x v="20"/>
    <s v="https://ijglobal.com/data/transaction/35250/providencia-solar-pv-plant-100mw"/>
    <x v="17"/>
    <x v="4"/>
    <x v="15"/>
    <m/>
    <m/>
    <m/>
    <m/>
    <x v="3"/>
    <s v="Photovoltaic Solar"/>
    <s v="Financial Close"/>
    <n v="50"/>
    <n v="5.6903636595000001E-2"/>
    <n v="2.2761454637999998"/>
    <m/>
    <n v="50"/>
    <m/>
  </r>
  <r>
    <x v="10"/>
    <x v="32"/>
    <s v="Other Public Financer"/>
    <n v="18560000"/>
    <m/>
    <m/>
    <m/>
    <x v="12"/>
    <s v="https://ijglobal.com/data/transaction/37121/ten-merina-solar-pv-plant-30mw"/>
    <x v="10"/>
    <x v="0"/>
    <x v="8"/>
    <m/>
    <m/>
    <m/>
    <m/>
    <x v="3"/>
    <s v="Photovoltaic Solar"/>
    <s v="Financial Close"/>
    <n v="15"/>
    <n v="1.7071090978500004E-2"/>
    <n v="0.68284363914000012"/>
    <m/>
    <n v="15"/>
    <m/>
  </r>
  <r>
    <x v="10"/>
    <x v="32"/>
    <s v="Other Public Financer"/>
    <n v="35500000"/>
    <m/>
    <m/>
    <m/>
    <x v="197"/>
    <s v="https://ijglobal.com/data/transaction/36100/empire-solar-pv-plant-67mw-ppp"/>
    <x v="74"/>
    <x v="7"/>
    <x v="56"/>
    <m/>
    <m/>
    <m/>
    <m/>
    <x v="3"/>
    <s v="Photovoltaic Solar"/>
    <s v="Financial Close"/>
    <n v="67"/>
    <n v="7.6250873037299993E-2"/>
    <n v="3.0500349214919997"/>
    <m/>
    <n v="67"/>
    <m/>
  </r>
  <r>
    <x v="10"/>
    <x v="32"/>
    <s v="Other Public Financer"/>
    <n v="40000000"/>
    <m/>
    <m/>
    <m/>
    <x v="198"/>
    <s v="https://ijglobal.com/data/transaction/36396/pan-african-solar-pv-plant-75mw"/>
    <x v="3"/>
    <x v="0"/>
    <x v="0"/>
    <m/>
    <m/>
    <m/>
    <m/>
    <x v="3"/>
    <s v="Photovoltaic Solar"/>
    <s v="Financing"/>
    <n v="37.5"/>
    <n v="4.2677727446250001E-2"/>
    <n v="1.7071090978500001"/>
    <m/>
    <n v="37.5"/>
    <m/>
  </r>
  <r>
    <x v="10"/>
    <x v="32"/>
    <s v="Other Public Financer"/>
    <n v="29200000"/>
    <m/>
    <m/>
    <m/>
    <x v="199"/>
    <s v="https://ijglobal.com/data/transaction/32729/redstone-csp-plant-100mw"/>
    <x v="3"/>
    <x v="0"/>
    <x v="1"/>
    <m/>
    <m/>
    <m/>
    <m/>
    <x v="3"/>
    <s v="Thermal Solar"/>
    <s v="Financing"/>
    <n v="100"/>
    <n v="0.11380727319"/>
    <n v="4.5522909275999996"/>
    <m/>
    <n v="100"/>
    <m/>
  </r>
  <r>
    <x v="10"/>
    <x v="33"/>
    <s v="Other Public Financer"/>
    <n v="67580000"/>
    <m/>
    <m/>
    <m/>
    <x v="200"/>
    <s v="https://ijglobal.com/data/transaction/28414/harpo-hydro-power-plant-35mw"/>
    <x v="3"/>
    <x v="5"/>
    <x v="19"/>
    <m/>
    <m/>
    <m/>
    <m/>
    <x v="3"/>
    <s v="Small Hydro"/>
    <s v="Financing"/>
    <n v="9"/>
    <n v="1.0242654587099999E-2"/>
    <n v="0.40970618348399995"/>
    <m/>
    <n v="9"/>
    <m/>
  </r>
  <r>
    <x v="10"/>
    <x v="33"/>
    <s v="Other Public Financer"/>
    <n v="36780000"/>
    <m/>
    <m/>
    <m/>
    <x v="201"/>
    <s v="https://ijglobal.com/data/transaction/36444/kenya-wind-and-solar-pv-portfolio-102mw"/>
    <x v="3"/>
    <x v="0"/>
    <x v="49"/>
    <m/>
    <m/>
    <m/>
    <m/>
    <x v="3"/>
    <s v="Onshore Wind,Photovoltaic Solar"/>
    <s v="Pre-financing"/>
    <n v="10.199999999999999"/>
    <n v="1.160834186538E-2"/>
    <n v="0.46433367461519998"/>
    <m/>
    <n v="10.199999999999999"/>
    <m/>
  </r>
  <r>
    <x v="10"/>
    <x v="33"/>
    <s v="Other Public Financer"/>
    <n v="130000000"/>
    <m/>
    <m/>
    <m/>
    <x v="202"/>
    <s v="https://ijglobal.com/data/transaction/27999/kiwano-solar-thermal-plant-100mw"/>
    <x v="3"/>
    <x v="0"/>
    <x v="1"/>
    <m/>
    <m/>
    <m/>
    <m/>
    <x v="3"/>
    <s v="Thermal Solar"/>
    <s v="Financing"/>
    <n v="16.666666666666668"/>
    <n v="1.8967878864999999E-2"/>
    <n v="0.75871515459999994"/>
    <m/>
    <n v="16.666666666666668"/>
    <m/>
  </r>
  <r>
    <x v="10"/>
    <x v="33"/>
    <s v="Other Public Financer"/>
    <n v="0"/>
    <m/>
    <m/>
    <m/>
    <x v="203"/>
    <s v="https://ijglobal.com/data/transaction/35032/meru-wind-farm-phase-1-100mw"/>
    <x v="3"/>
    <x v="0"/>
    <x v="49"/>
    <m/>
    <m/>
    <m/>
    <m/>
    <x v="3"/>
    <s v="Onshore Wind"/>
    <s v="Financing"/>
    <n v="50"/>
    <n v="5.6903636595000001E-2"/>
    <n v="2.2761454637999998"/>
    <m/>
    <n v="50"/>
    <m/>
  </r>
  <r>
    <x v="10"/>
    <x v="33"/>
    <s v="Other Public Financer"/>
    <n v="65500000"/>
    <m/>
    <m/>
    <m/>
    <x v="173"/>
    <s v="https://ijglobal.com/data/transaction/35666/oruro-solar-pv-plant-50mw"/>
    <x v="3"/>
    <x v="4"/>
    <x v="54"/>
    <m/>
    <m/>
    <m/>
    <m/>
    <x v="3"/>
    <s v="Photovoltaic Solar"/>
    <s v="Financing"/>
    <n v="50"/>
    <n v="5.6903636595000001E-2"/>
    <n v="2.2761454637999998"/>
    <m/>
    <n v="50"/>
    <m/>
  </r>
  <r>
    <x v="10"/>
    <x v="33"/>
    <s v="Other Public Financer"/>
    <n v="24300000"/>
    <m/>
    <m/>
    <m/>
    <x v="174"/>
    <s v="https://ijglobal.com/data/transaction/31751/ouagadougou-solar-pv-plant-30mw"/>
    <x v="3"/>
    <x v="0"/>
    <x v="55"/>
    <m/>
    <m/>
    <m/>
    <m/>
    <x v="3"/>
    <s v="Photovoltaic Solar"/>
    <s v="Financing"/>
    <n v="15"/>
    <n v="1.7071090978500004E-2"/>
    <n v="0.68284363914000012"/>
    <m/>
    <n v="15"/>
    <m/>
  </r>
  <r>
    <x v="10"/>
    <x v="33"/>
    <s v="Other Public Financer"/>
    <n v="45290000"/>
    <m/>
    <m/>
    <m/>
    <x v="204"/>
    <s v="https://ijglobal.com/data/transaction/35963/sharm-el-sheikh-solar-pv-plant-40mw"/>
    <x v="3"/>
    <x v="7"/>
    <x v="32"/>
    <m/>
    <m/>
    <m/>
    <m/>
    <x v="3"/>
    <s v="Photovoltaic Solar"/>
    <s v="Financing"/>
    <n v="40"/>
    <n v="4.5522909275999994E-2"/>
    <n v="1.8209163710399998"/>
    <m/>
    <n v="40"/>
    <m/>
  </r>
  <r>
    <x v="11"/>
    <x v="34"/>
    <s v="Export Credit &amp; Insurance"/>
    <n v="705914063.51189995"/>
    <s v="&quot;A German Exporter&quot;"/>
    <m/>
    <m/>
    <x v="205"/>
    <s v="http://www.agaportal.de/en/aga/projektinformationen/liste.html"/>
    <x v="75"/>
    <x v="8"/>
    <x v="18"/>
    <m/>
    <m/>
    <m/>
    <m/>
    <x v="2"/>
    <s v="Coal Mining"/>
    <s v="Financial Close"/>
    <m/>
    <n v="0"/>
    <n v="0"/>
    <m/>
    <m/>
    <m/>
  </r>
  <r>
    <x v="11"/>
    <x v="34"/>
    <s v="Export Credit &amp; Insurance"/>
    <n v="5102040.8163265307"/>
    <s v="Not identified"/>
    <m/>
    <m/>
    <x v="206"/>
    <m/>
    <x v="2"/>
    <x v="10"/>
    <x v="59"/>
    <m/>
    <s v="Parliamentary Inquiry. 4m euros"/>
    <m/>
    <m/>
    <x v="2"/>
    <s v="Coal Mining"/>
    <s v="Financial Close"/>
    <m/>
    <n v="0"/>
    <n v="0"/>
    <m/>
    <m/>
    <m/>
  </r>
  <r>
    <x v="11"/>
    <x v="34"/>
    <s v="Export Credit &amp; Insurance"/>
    <n v="2551020.4081632653"/>
    <s v="Not identified"/>
    <m/>
    <m/>
    <x v="207"/>
    <m/>
    <x v="2"/>
    <x v="8"/>
    <x v="18"/>
    <m/>
    <s v="Parliamentary Inquiry. 2m euros"/>
    <m/>
    <m/>
    <x v="2"/>
    <s v="Coal Mining"/>
    <s v="Financial Close"/>
    <m/>
    <n v="0"/>
    <n v="0"/>
    <m/>
    <m/>
    <m/>
  </r>
  <r>
    <x v="11"/>
    <x v="34"/>
    <s v="Export Credit &amp; Insurance"/>
    <n v="40816326.530612245"/>
    <s v="Not identified"/>
    <m/>
    <m/>
    <x v="208"/>
    <m/>
    <x v="2"/>
    <x v="5"/>
    <x v="50"/>
    <m/>
    <s v="Parliamentary Inquiry. 32m euros"/>
    <m/>
    <m/>
    <x v="2"/>
    <s v="Coal Mining"/>
    <s v="Financial Close"/>
    <m/>
    <n v="0"/>
    <n v="0"/>
    <m/>
    <m/>
    <m/>
  </r>
  <r>
    <x v="11"/>
    <x v="34"/>
    <s v="Export Credit &amp; Insurance"/>
    <n v="5336179.2956243325"/>
    <s v="Not identified"/>
    <m/>
    <m/>
    <x v="209"/>
    <m/>
    <x v="76"/>
    <x v="7"/>
    <x v="32"/>
    <m/>
    <s v="Parliamentary Inquiry. Coal-to-liquids"/>
    <m/>
    <m/>
    <x v="2"/>
    <s v="Coal Mining"/>
    <s v="Financial Close"/>
    <m/>
    <n v="0"/>
    <n v="0"/>
    <m/>
    <m/>
    <m/>
  </r>
  <r>
    <x v="11"/>
    <x v="34"/>
    <s v="Export Credit &amp; Insurance"/>
    <n v="14941302.027748132"/>
    <s v="Not identified"/>
    <m/>
    <m/>
    <x v="210"/>
    <m/>
    <x v="76"/>
    <x v="3"/>
    <x v="47"/>
    <m/>
    <s v="Parliamentary Inquiry. Coal-to-liquids"/>
    <m/>
    <m/>
    <x v="2"/>
    <s v="Coal Mining"/>
    <s v="Financial Close"/>
    <m/>
    <n v="0"/>
    <n v="0"/>
    <m/>
    <m/>
    <m/>
  </r>
  <r>
    <x v="11"/>
    <x v="34"/>
    <s v="Export Credit &amp; Insurance"/>
    <n v="7470651.0138740661"/>
    <s v="Not identified"/>
    <m/>
    <m/>
    <x v="211"/>
    <m/>
    <x v="76"/>
    <x v="8"/>
    <x v="18"/>
    <m/>
    <s v="Parliamentary Inquiry. 7m Euros"/>
    <m/>
    <m/>
    <x v="2"/>
    <s v="Coal Mining"/>
    <s v="Financial Close"/>
    <m/>
    <n v="0"/>
    <n v="0"/>
    <m/>
    <m/>
    <m/>
  </r>
  <r>
    <x v="11"/>
    <x v="34"/>
    <s v="Export Credit &amp; Insurance"/>
    <n v="4268943.4364994662"/>
    <m/>
    <m/>
    <m/>
    <x v="212"/>
    <s v="Parliamentary Inquiry"/>
    <x v="3"/>
    <x v="2"/>
    <x v="3"/>
    <m/>
    <s v="Parliamentary Inquiry March 2016. 4m euros"/>
    <m/>
    <m/>
    <x v="2"/>
    <s v="Coal Mining"/>
    <s v="Financing"/>
    <n v="0"/>
    <n v="0"/>
    <n v="0"/>
    <m/>
    <m/>
    <m/>
  </r>
  <r>
    <x v="11"/>
    <x v="34"/>
    <s v="Export Credit &amp; Insurance"/>
    <n v="17075773.745997865"/>
    <m/>
    <m/>
    <m/>
    <x v="213"/>
    <s v="Parliamentary Inquiry"/>
    <x v="3"/>
    <x v="2"/>
    <x v="3"/>
    <m/>
    <s v="Parliamentary Inquiry March 2016. 16m euros"/>
    <m/>
    <m/>
    <x v="2"/>
    <s v="Coal Mining"/>
    <s v="Financing"/>
    <n v="0"/>
    <n v="0"/>
    <n v="0"/>
    <m/>
    <m/>
    <m/>
  </r>
  <r>
    <x v="11"/>
    <x v="34"/>
    <s v="Export Credit &amp; Insurance"/>
    <n v="81109925.293489859"/>
    <m/>
    <m/>
    <m/>
    <x v="214"/>
    <s v="Parliamentary Inquiry"/>
    <x v="3"/>
    <x v="8"/>
    <x v="18"/>
    <m/>
    <s v="Parliamentary Inquiry March 2016. 76m euros"/>
    <m/>
    <m/>
    <x v="2"/>
    <s v="Coal Mining"/>
    <s v="Financing"/>
    <m/>
    <n v="0"/>
    <n v="0"/>
    <m/>
    <m/>
    <m/>
  </r>
  <r>
    <x v="11"/>
    <x v="34"/>
    <s v="Export Credit &amp; Insurance"/>
    <n v="3201707.5773745994"/>
    <m/>
    <m/>
    <m/>
    <x v="211"/>
    <s v="Parliamentary Inquiry"/>
    <x v="3"/>
    <x v="8"/>
    <x v="18"/>
    <m/>
    <s v="Parliamentary Inquiry March 2016. 3m euros"/>
    <m/>
    <m/>
    <x v="2"/>
    <s v="Coal Mining"/>
    <s v="Financing"/>
    <m/>
    <n v="0"/>
    <n v="0"/>
    <m/>
    <m/>
    <m/>
  </r>
  <r>
    <x v="11"/>
    <x v="34"/>
    <s v="Export Credit &amp; Insurance"/>
    <n v="1067235.8591248665"/>
    <m/>
    <m/>
    <m/>
    <x v="215"/>
    <s v="Parliamentary Inquiry"/>
    <x v="3"/>
    <x v="8"/>
    <x v="18"/>
    <m/>
    <s v="Parliamentary Inquiry March 2016. 1m euros"/>
    <m/>
    <m/>
    <x v="2"/>
    <s v="Coal Mining"/>
    <s v="Financing"/>
    <m/>
    <n v="0"/>
    <n v="0"/>
    <m/>
    <m/>
    <m/>
  </r>
  <r>
    <x v="11"/>
    <x v="34"/>
    <s v="Export Credit &amp; Insurance"/>
    <n v="1067235.8591248665"/>
    <m/>
    <m/>
    <m/>
    <x v="216"/>
    <s v="Parliamentary Inquiry"/>
    <x v="3"/>
    <x v="8"/>
    <x v="18"/>
    <m/>
    <s v="Parliamentary Inquiry March 2016. 1m euros"/>
    <m/>
    <m/>
    <x v="2"/>
    <s v="Coal Mining"/>
    <s v="Financing"/>
    <m/>
    <n v="0"/>
    <n v="0"/>
    <m/>
    <m/>
    <m/>
  </r>
  <r>
    <x v="11"/>
    <x v="34"/>
    <s v="Export Credit &amp; Insurance"/>
    <n v="19210245.464247599"/>
    <m/>
    <m/>
    <m/>
    <x v="217"/>
    <s v="Parliamentary Inquiry"/>
    <x v="3"/>
    <x v="8"/>
    <x v="5"/>
    <m/>
    <s v="Parliamentary Inquiry March 2016. 18m euros"/>
    <m/>
    <m/>
    <x v="2"/>
    <s v="Coal Mining"/>
    <s v="Financing"/>
    <m/>
    <n v="0"/>
    <n v="0"/>
    <m/>
    <m/>
    <m/>
  </r>
  <r>
    <x v="11"/>
    <x v="34"/>
    <s v="Export Credit &amp; Insurance"/>
    <n v="320170.75773745996"/>
    <m/>
    <m/>
    <m/>
    <x v="218"/>
    <s v="Parliamentary Inquiry"/>
    <x v="3"/>
    <x v="3"/>
    <x v="47"/>
    <m/>
    <s v="Parliamentary Inquiry March 2016. 0.3m euros"/>
    <m/>
    <m/>
    <x v="2"/>
    <s v="Coal Mining"/>
    <s v="Financing"/>
    <m/>
    <n v="0"/>
    <n v="0"/>
    <m/>
    <m/>
    <m/>
  </r>
  <r>
    <x v="11"/>
    <x v="35"/>
    <s v="Other Public Financer"/>
    <n v="96705007.552499995"/>
    <s v="Israel Electric Corporation LTD (IEC)"/>
    <m/>
    <m/>
    <x v="219"/>
    <m/>
    <x v="77"/>
    <x v="7"/>
    <x v="60"/>
    <m/>
    <m/>
    <s v="https://www.kfw-ipex-bank.de/International-financing/KfW-IPEX-Bank/Presse/Pressemitteilungen/Pressemitteilungsdetails_125760.html"/>
    <m/>
    <x v="0"/>
    <s v="Coal Power Plant - Existing"/>
    <s v="Financial Close"/>
    <m/>
    <n v="0"/>
    <n v="0"/>
    <m/>
    <m/>
    <m/>
  </r>
  <r>
    <x v="11"/>
    <x v="35"/>
    <s v="Other Public Financer"/>
    <n v="75695673.960500002"/>
    <s v="National Thermal Power Corporation"/>
    <m/>
    <m/>
    <x v="220"/>
    <s v="http://www.thehindu.com/business/Industry/ntpc-ties-up-55-m-euro-loan-with-kfw/article5474669.ece"/>
    <x v="78"/>
    <x v="5"/>
    <x v="50"/>
    <m/>
    <m/>
    <m/>
    <m/>
    <x v="0"/>
    <s v="Coal Power Plant - New"/>
    <s v="Financial Close"/>
    <n v="1000"/>
    <n v="1.1380727319000001"/>
    <n v="45.522909276000007"/>
    <m/>
    <m/>
    <m/>
  </r>
  <r>
    <x v="11"/>
    <x v="34"/>
    <s v="Export Credit &amp; Insurance"/>
    <n v="780000000"/>
    <m/>
    <m/>
    <m/>
    <x v="221"/>
    <s v="http://dip21.bundestag.de/dip21/btd/18/068/1806834.pdf"/>
    <x v="79"/>
    <x v="3"/>
    <x v="35"/>
    <m/>
    <s v="It’s not certain how big KfW’s slice of the 739 million is though it leads the syndicate. Greek media recently reported 700 million Euros, PPC’s chief executive mentioning the figure of 200 million in 2012, and an initial funding plan KfW would contribute by 44% of the project, around 610 million Euros.  construction has started"/>
    <s v="https://www.dei.gr/en/anakoinwseis/xrimatistiriaka-etairikes-prakseis-katavoli-merismatos-ka/xrimatistiriakes-anakoinwseis-2013/ekdosi-telikis-asfalistikis-kalupsis-daneiou-739-e"/>
    <s v="http://www.greenpeace.org.uk/newsdesk/energy/news/greek-power-authority-and-german-development-bank-under-fire-plans-new-lignite-plant-greece"/>
    <x v="0"/>
    <s v="Coal Power Plant - New"/>
    <s v="Financial Close"/>
    <m/>
    <n v="0"/>
    <n v="0"/>
    <m/>
    <m/>
    <m/>
  </r>
  <r>
    <x v="11"/>
    <x v="36"/>
    <s v="Other Public Financer"/>
    <n v="213447171.82497332"/>
    <s v="Public Power Corporation of Greece"/>
    <m/>
    <m/>
    <x v="221"/>
    <s v="https://www.dei.gr/en/anakoinwseis/xrimatistiriaka-etairikes-prakseis-katavoli-merismatos-ka/xrimatistiriakes-anakoinwseis-2013/ekdosi-telikis-asfalistikis-kalupsis-daneiou-739-e"/>
    <x v="79"/>
    <x v="3"/>
    <x v="35"/>
    <m/>
    <s v="It’s not certain how big KfW’s slice of the 739 million is though it leads the syndicate. Greek media recently reported 700 million Euros, PPC’s chief executive mentioning the figure of 200 million in 2012, and an initial funding plan KfW would contribute by 44% of the project, around 610 million Euros.  construction has started"/>
    <s v="https://tradefinanceanalytics.com/Articles/3291884/Euler-Hermes-fulfils-maiden-loan-cover-for-Greek-power-plant"/>
    <m/>
    <x v="0"/>
    <s v="Coal Power Plant - New"/>
    <s v="Financial Close"/>
    <n v="660"/>
    <n v="0.75112800305400007"/>
    <n v="30.045120122160004"/>
    <m/>
    <m/>
    <m/>
  </r>
  <r>
    <x v="11"/>
    <x v="34"/>
    <s v="Export Credit &amp; Insurance"/>
    <n v="35714285.714285716"/>
    <s v="Not identified"/>
    <m/>
    <m/>
    <x v="222"/>
    <m/>
    <x v="2"/>
    <x v="3"/>
    <x v="61"/>
    <m/>
    <s v="Parliamentary Inquiry. 28 million euros"/>
    <m/>
    <m/>
    <x v="0"/>
    <s v="Coal Power Plant"/>
    <s v="Financial Close"/>
    <m/>
    <n v="0"/>
    <n v="0"/>
    <m/>
    <m/>
    <m/>
  </r>
  <r>
    <x v="11"/>
    <x v="34"/>
    <s v="Export Credit &amp; Insurance"/>
    <n v="382653.06122448976"/>
    <s v="Not identified"/>
    <m/>
    <m/>
    <x v="223"/>
    <m/>
    <x v="2"/>
    <x v="3"/>
    <x v="35"/>
    <m/>
    <s v="Parliamentary Inquiry. 0.3 million euros"/>
    <m/>
    <m/>
    <x v="0"/>
    <s v="Coal Power Plant"/>
    <s v="Financial Close"/>
    <m/>
    <n v="0"/>
    <n v="0"/>
    <m/>
    <m/>
    <m/>
  </r>
  <r>
    <x v="11"/>
    <x v="34"/>
    <s v="Export Credit &amp; Insurance"/>
    <n v="20231720.640000001"/>
    <s v="NTPC LTD"/>
    <s v="HuDe GmbH, Erkelenz"/>
    <s v="TOSH-JSW"/>
    <x v="224"/>
    <s v="http://www.jbic.go.jp/en/information/press/press-2013/0127-17508"/>
    <x v="80"/>
    <x v="5"/>
    <x v="50"/>
    <s v="Karnataka"/>
    <s v="The AGA website lists this as a &quot;category 2&quot; project which is defined as projects receiving &quot;up to 50 million euro in cover&quot;. Conservatively we have included this as 15 million euros even though it could be up to 50 million since the lower category -- category 1 is for &quot;up to 15 million euros)."/>
    <m/>
    <m/>
    <x v="0"/>
    <s v="Coal - Processing"/>
    <s v="Financial Close"/>
    <n v="800"/>
    <n v="0.91045818552000002"/>
    <n v="36.418327420799997"/>
    <m/>
    <m/>
    <m/>
  </r>
  <r>
    <x v="11"/>
    <x v="0"/>
    <s v="Multilateral"/>
    <n v="8219344.2675580001"/>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11"/>
    <x v="34"/>
    <s v="Export Credit &amp; Insurance"/>
    <n v="0"/>
    <m/>
    <m/>
    <m/>
    <x v="225"/>
    <m/>
    <x v="81"/>
    <x v="3"/>
    <x v="62"/>
    <m/>
    <s v="Parliamentary Inquiry March 2016. 246 euros; _x000a_The project was cancelled in June 2016. The power plant size was supposed to be 500MW with $262,540,021  financing. "/>
    <m/>
    <m/>
    <x v="0"/>
    <s v="Coal Power Plant - New"/>
    <s v="Deferred"/>
    <n v="0"/>
    <n v="0"/>
    <n v="0"/>
    <m/>
    <m/>
    <m/>
  </r>
  <r>
    <x v="11"/>
    <x v="34"/>
    <s v="Export Credit &amp; Insurance"/>
    <n v="23479188.900747065"/>
    <m/>
    <m/>
    <m/>
    <x v="226"/>
    <s v="Parliamentary Inquiry"/>
    <x v="3"/>
    <x v="3"/>
    <x v="35"/>
    <m/>
    <s v="Parliamentary Inquiry March 2016. 22 euros"/>
    <m/>
    <m/>
    <x v="0"/>
    <s v="Coal Power Plant"/>
    <s v="Financing"/>
    <m/>
    <n v="0"/>
    <n v="0"/>
    <m/>
    <m/>
    <m/>
  </r>
  <r>
    <x v="11"/>
    <x v="34"/>
    <s v="Export Credit &amp; Insurance"/>
    <n v="210245464.24759871"/>
    <m/>
    <m/>
    <m/>
    <x v="227"/>
    <s v="Parliamentary Inquiry"/>
    <x v="3"/>
    <x v="8"/>
    <x v="51"/>
    <m/>
    <s v="Parliamentary Inquiry March 2016. 197 euros"/>
    <m/>
    <m/>
    <x v="0"/>
    <s v="Coal Power Plant"/>
    <s v="Financing"/>
    <m/>
    <n v="0"/>
    <n v="0"/>
    <m/>
    <m/>
    <m/>
  </r>
  <r>
    <x v="11"/>
    <x v="34"/>
    <s v="Export Credit &amp; Insurance"/>
    <n v="1067235.8591248665"/>
    <m/>
    <m/>
    <m/>
    <x v="228"/>
    <s v="Parliamentary Inquiry"/>
    <x v="3"/>
    <x v="8"/>
    <x v="18"/>
    <m/>
    <s v="Parliamentary Inquiry March 2016. 1m euros"/>
    <m/>
    <m/>
    <x v="0"/>
    <s v="Coal Power Plant"/>
    <s v="Financing"/>
    <m/>
    <n v="0"/>
    <n v="0"/>
    <m/>
    <m/>
    <m/>
  </r>
  <r>
    <x v="11"/>
    <x v="34"/>
    <s v="Export Credit &amp; Insurance"/>
    <n v="2134471.7182497331"/>
    <m/>
    <m/>
    <m/>
    <x v="229"/>
    <s v="Parliamentary Inquiry"/>
    <x v="3"/>
    <x v="8"/>
    <x v="18"/>
    <m/>
    <s v="Parliamentary Inquiry March 2016. 2m euros"/>
    <m/>
    <m/>
    <x v="0"/>
    <s v="Coal Power Plant"/>
    <s v="Financing"/>
    <m/>
    <n v="0"/>
    <n v="0"/>
    <m/>
    <m/>
    <m/>
  </r>
  <r>
    <x v="11"/>
    <x v="34"/>
    <s v="Export Credit &amp; Insurance"/>
    <n v="21344717.18249733"/>
    <m/>
    <m/>
    <m/>
    <x v="229"/>
    <s v="Parliamentary Inquiry"/>
    <x v="3"/>
    <x v="8"/>
    <x v="18"/>
    <m/>
    <s v="Parliamentary Inquiry March 2016. 20 euros"/>
    <m/>
    <m/>
    <x v="0"/>
    <s v="Coal Power Plant"/>
    <s v="Financing"/>
    <m/>
    <n v="0"/>
    <n v="0"/>
    <m/>
    <m/>
    <m/>
  </r>
  <r>
    <x v="11"/>
    <x v="34"/>
    <s v="Export Credit &amp; Insurance"/>
    <n v="44823906.083244391"/>
    <m/>
    <m/>
    <m/>
    <x v="230"/>
    <s v="Parliamentary Inquiry"/>
    <x v="3"/>
    <x v="0"/>
    <x v="1"/>
    <m/>
    <s v="Parliamentary Inquiry March 2016. 42 euros"/>
    <m/>
    <m/>
    <x v="0"/>
    <s v="Coal Power Plant"/>
    <s v="Financing"/>
    <m/>
    <n v="0"/>
    <n v="0"/>
    <m/>
    <m/>
    <m/>
  </r>
  <r>
    <x v="11"/>
    <x v="36"/>
    <s v="Other Public Financer"/>
    <n v="123596454.02249999"/>
    <s v="National Thermal Power Corporation"/>
    <m/>
    <m/>
    <x v="231"/>
    <s v="http://www.thehindu.com/business/Industry/ntpc-ties-up-95-m-euro-loan-facility-with-kfw/article4860075.ece"/>
    <x v="82"/>
    <x v="5"/>
    <x v="50"/>
    <m/>
    <m/>
    <m/>
    <m/>
    <x v="4"/>
    <s v="Coal Power Plant - Emissions Control"/>
    <s v="Financial Close"/>
    <m/>
    <n v="0"/>
    <n v="0"/>
    <m/>
    <m/>
    <m/>
  </r>
  <r>
    <x v="11"/>
    <x v="35"/>
    <s v="Other Public Financer"/>
    <n v="232575000"/>
    <s v="Not identified"/>
    <m/>
    <m/>
    <x v="232"/>
    <m/>
    <x v="3"/>
    <x v="6"/>
    <x v="20"/>
    <m/>
    <s v="PENDING avg exchange rate for 2014 1.329; (environmental measure: deployment of modern environmental protection technologies for waste gas purification, and rehabilitation of generators, turbines and boilers)"/>
    <m/>
    <m/>
    <x v="4"/>
    <s v="Coal Power Plant Emissions Control"/>
    <s v="Financing"/>
    <m/>
    <n v="0"/>
    <n v="0"/>
    <m/>
    <m/>
    <m/>
  </r>
  <r>
    <x v="11"/>
    <x v="35"/>
    <s v="Other Public Financer"/>
    <n v="39870000"/>
    <s v="Not identified"/>
    <m/>
    <m/>
    <x v="233"/>
    <s v="Parliamentary Inquiry"/>
    <x v="3"/>
    <x v="8"/>
    <x v="38"/>
    <m/>
    <s v="PENDING avg exchange rate for 2014 1.329"/>
    <m/>
    <m/>
    <x v="4"/>
    <s v="Coal Power Plant Emissions Control"/>
    <s v="Financing"/>
    <n v="0"/>
    <n v="0"/>
    <n v="0"/>
    <m/>
    <m/>
    <m/>
  </r>
  <r>
    <x v="11"/>
    <x v="35"/>
    <s v="Other Public Financer"/>
    <n v="59805000"/>
    <s v="Not identified"/>
    <m/>
    <m/>
    <x v="234"/>
    <m/>
    <x v="3"/>
    <x v="3"/>
    <x v="5"/>
    <m/>
    <s v="PENDING avg exchange rate for 2014 1.329; (environmental measure: modernisation of an ash disposal system)"/>
    <m/>
    <m/>
    <x v="4"/>
    <s v="Coal Power Plant Emissions Control"/>
    <s v="Financing"/>
    <m/>
    <n v="0"/>
    <n v="0"/>
    <m/>
    <m/>
    <m/>
  </r>
  <r>
    <x v="11"/>
    <x v="34"/>
    <s v="Export Credit &amp; Insurance"/>
    <n v="2554278.4163473817"/>
    <s v="Not identified"/>
    <m/>
    <m/>
    <x v="235"/>
    <m/>
    <x v="4"/>
    <x v="8"/>
    <x v="18"/>
    <m/>
    <s v="Parliamentary Inquiry. 2m euros"/>
    <m/>
    <m/>
    <x v="1"/>
    <s v="Coal - Policy"/>
    <s v="Financial Close"/>
    <m/>
    <n v="0"/>
    <n v="0"/>
    <m/>
    <m/>
    <m/>
  </r>
  <r>
    <x v="11"/>
    <x v="34"/>
    <s v="Export Credit &amp; Insurance"/>
    <n v="38314176.24521073"/>
    <s v="Not identified"/>
    <m/>
    <m/>
    <x v="236"/>
    <m/>
    <x v="4"/>
    <x v="8"/>
    <x v="51"/>
    <m/>
    <s v="Parliamentary Inquiry. 30 million euros"/>
    <m/>
    <m/>
    <x v="1"/>
    <s v="Coal - Policy"/>
    <s v="Financial Close"/>
    <m/>
    <n v="0"/>
    <n v="0"/>
    <m/>
    <m/>
    <m/>
  </r>
  <r>
    <x v="11"/>
    <x v="34"/>
    <s v="Export Credit &amp; Insurance"/>
    <n v="383141.76245210727"/>
    <s v="Not identified"/>
    <m/>
    <m/>
    <x v="237"/>
    <m/>
    <x v="4"/>
    <x v="3"/>
    <x v="35"/>
    <m/>
    <s v="Parliamentary Inquiry. 0.3 million euros"/>
    <m/>
    <m/>
    <x v="1"/>
    <s v="Coal - Policy"/>
    <s v="Financial Close"/>
    <m/>
    <n v="0"/>
    <n v="0"/>
    <m/>
    <m/>
    <m/>
  </r>
  <r>
    <x v="11"/>
    <x v="34"/>
    <s v="Export Credit &amp; Insurance"/>
    <n v="219667943.80587482"/>
    <s v="Not identified"/>
    <m/>
    <m/>
    <x v="238"/>
    <m/>
    <x v="4"/>
    <x v="7"/>
    <x v="60"/>
    <m/>
    <s v="172 million euros "/>
    <m/>
    <m/>
    <x v="1"/>
    <s v="Coal - Policy"/>
    <s v="Financial Close"/>
    <m/>
    <n v="0"/>
    <n v="0"/>
    <m/>
    <m/>
    <m/>
  </r>
  <r>
    <x v="11"/>
    <x v="34"/>
    <s v="Export Credit &amp; Insurance"/>
    <n v="895410885.80576301"/>
    <s v="Not identified"/>
    <m/>
    <m/>
    <x v="239"/>
    <m/>
    <x v="4"/>
    <x v="3"/>
    <x v="35"/>
    <m/>
    <s v="Parliamentary Inquiry. 839 million euros."/>
    <m/>
    <m/>
    <x v="1"/>
    <s v="Coal - Policy"/>
    <s v="Financial Close"/>
    <m/>
    <n v="0"/>
    <n v="0"/>
    <m/>
    <m/>
    <m/>
  </r>
  <r>
    <x v="11"/>
    <x v="34"/>
    <s v="Export Credit &amp; Insurance"/>
    <n v="81736909.323116213"/>
    <s v="Not identified"/>
    <m/>
    <m/>
    <x v="240"/>
    <m/>
    <x v="4"/>
    <x v="5"/>
    <x v="50"/>
    <m/>
    <s v="Parliamentary Inquiry. 64 million euros"/>
    <m/>
    <m/>
    <x v="1"/>
    <s v="Coal - Policy"/>
    <s v="Financial Close"/>
    <m/>
    <n v="0"/>
    <n v="0"/>
    <m/>
    <m/>
    <m/>
  </r>
  <r>
    <x v="11"/>
    <x v="34"/>
    <s v="Export Credit &amp; Insurance"/>
    <n v="71519795.65772669"/>
    <s v="Not identified"/>
    <m/>
    <m/>
    <x v="241"/>
    <m/>
    <x v="4"/>
    <x v="8"/>
    <x v="51"/>
    <m/>
    <s v="Parliamentary Inquiry. 56m euros"/>
    <m/>
    <m/>
    <x v="1"/>
    <s v="Coal - Policy"/>
    <s v="Financial Close"/>
    <m/>
    <n v="0"/>
    <n v="0"/>
    <m/>
    <m/>
    <m/>
  </r>
  <r>
    <x v="11"/>
    <x v="34"/>
    <s v="Export Credit &amp; Insurance"/>
    <n v="38314176.24521073"/>
    <s v="Not identified"/>
    <m/>
    <m/>
    <x v="242"/>
    <m/>
    <x v="4"/>
    <x v="8"/>
    <x v="18"/>
    <m/>
    <s v="Parliamentary Inquiry. 30m euros"/>
    <m/>
    <m/>
    <x v="1"/>
    <s v="Coal - Policy"/>
    <s v="Financial Close"/>
    <m/>
    <n v="0"/>
    <n v="0"/>
    <m/>
    <m/>
    <m/>
  </r>
  <r>
    <x v="11"/>
    <x v="35"/>
    <s v="Other Public Financer"/>
    <n v="31222945.817485899"/>
    <s v="Not identified"/>
    <m/>
    <m/>
    <x v="2"/>
    <m/>
    <x v="4"/>
    <x v="1"/>
    <x v="63"/>
    <m/>
    <s v="KfW response to Parliament says that through Oct. 31, 2013 they invested 185,023940 euros in coal projects. Since KfW didn't break out the data per project we have classifed it as unspecified. The value assigned to this unspecified is the difference between the data KfW reported to Parliament and the amount that we were able to document using public data. This value--the difference-- was converted to USD using the currency rate as of Oct. 31, 2013. As of October 31, 2013."/>
    <m/>
    <m/>
    <x v="1"/>
    <s v="Coal - Policy"/>
    <s v="Financial Close"/>
    <m/>
    <n v="0"/>
    <n v="0"/>
    <m/>
    <m/>
    <m/>
  </r>
  <r>
    <x v="11"/>
    <x v="34"/>
    <s v="Export Credit &amp; Insurance"/>
    <n v="64112499.999999993"/>
    <s v="ThyssenKrupp Resource Technologies AG"/>
    <m/>
    <m/>
    <x v="243"/>
    <s v="http://www.agaportal.de/en/aga/projektinformationen/liste.html"/>
    <x v="83"/>
    <x v="8"/>
    <x v="51"/>
    <m/>
    <s v="The German website cited lists this as a &quot;category 3&quot; project which is defined as projects receiving &quot;up to 100 million euro in cover&quot;. Conservatively we have included this as 50 million euros even though it could be up to 100 million since the lower category -- category 2 is for &quot;up to 50 million euros). We converted to USD using the rate at the end of March since no exact date has been provided. "/>
    <m/>
    <m/>
    <x v="1"/>
    <s v="Coal - Policy"/>
    <s v="Financial Close"/>
    <m/>
    <n v="0"/>
    <n v="0"/>
    <m/>
    <m/>
    <m/>
  </r>
  <r>
    <x v="11"/>
    <x v="35"/>
    <s v="Other Public Financer"/>
    <n v="53160000"/>
    <s v="Not identified"/>
    <m/>
    <m/>
    <x v="244"/>
    <m/>
    <x v="2"/>
    <x v="10"/>
    <x v="64"/>
    <m/>
    <s v="avg exchange rate for 2014 1.329_x000a_German Federal Ministry for Economic Affairs and Energy, (2015)"/>
    <m/>
    <m/>
    <x v="1"/>
    <s v="Coal - Heating"/>
    <s v="Financial Close"/>
    <m/>
    <n v="0"/>
    <n v="0"/>
    <m/>
    <m/>
    <m/>
  </r>
  <r>
    <x v="11"/>
    <x v="35"/>
    <s v="Other Public Financer"/>
    <n v="2392200"/>
    <s v="Not identified"/>
    <m/>
    <m/>
    <x v="245"/>
    <m/>
    <x v="2"/>
    <x v="3"/>
    <x v="65"/>
    <m/>
    <s v="avg exchange rate for 2014 1.329_x000a_German Federal Ministry for Economic Affairs and Energy, (2015)"/>
    <m/>
    <m/>
    <x v="1"/>
    <s v="Coal - Heating"/>
    <s v="Financial Close"/>
    <m/>
    <n v="0"/>
    <n v="0"/>
    <m/>
    <m/>
    <m/>
  </r>
  <r>
    <x v="11"/>
    <x v="35"/>
    <s v="Other Public Financer"/>
    <n v="48375600"/>
    <s v="Not identified"/>
    <m/>
    <m/>
    <x v="246"/>
    <m/>
    <x v="2"/>
    <x v="10"/>
    <x v="64"/>
    <m/>
    <s v="avg exchange rate for 2014 1.329_x000a_German Federal Ministry for Economic Affairs and Energy, (2015)"/>
    <m/>
    <m/>
    <x v="1"/>
    <s v="Coal - Heating"/>
    <s v="Financial Close"/>
    <m/>
    <n v="0"/>
    <n v="0"/>
    <m/>
    <m/>
    <m/>
  </r>
  <r>
    <x v="11"/>
    <x v="36"/>
    <s v="Other Public Financer"/>
    <m/>
    <s v="HuDe GmbH, Erkelenz"/>
    <m/>
    <m/>
    <x v="247"/>
    <s v="http://www.agaportal.de/pages/aga/projektinformationen/liste.html"/>
    <x v="80"/>
    <x v="5"/>
    <x v="50"/>
    <m/>
    <s v="The AGA website lists KfW as a project financier."/>
    <m/>
    <m/>
    <x v="1"/>
    <s v="Coal - Processing"/>
    <s v="Financial Close"/>
    <m/>
    <n v="0"/>
    <n v="0"/>
    <m/>
    <m/>
    <m/>
  </r>
  <r>
    <x v="11"/>
    <x v="3"/>
    <s v="Multilateral"/>
    <n v="18425663.35256977"/>
    <s v="EPS"/>
    <m/>
    <m/>
    <x v="7"/>
    <s v="http://www.ebrd.com/work-with-us/projects/psd/eps-restructuring.html"/>
    <x v="5"/>
    <x v="3"/>
    <x v="5"/>
    <m/>
    <s v="Financing for restructing of Serbian state-owned utility EPS, which is lignite-heavy and maintains plans for significant lignite expansion. _x000a__x000a_While not exclusively for coal, this investment is included because of EPS lignite expansion plans and lack of prior EBRD investments in EPS resulting in observable changes in supply mix or capacity addition plans."/>
    <s v="http://www.ebrd.com/news/2015/ebrd-supports-reform-of-serbias-power-sector-with-200-million-loan-to-eps.html_x000a_http://bankwatch.org/publications/issues-serbian-electricity-company-eps-need-be-addressed-within - New-ebrd-loan_x000a_http://bankwatch.org/bwmail/62/ebrd-digs-deeper-serbian-coal-king"/>
    <m/>
    <x v="1"/>
    <s v="Other"/>
    <s v="Financial Close"/>
    <m/>
    <n v="0"/>
    <n v="0"/>
    <m/>
    <m/>
    <m/>
  </r>
  <r>
    <x v="11"/>
    <x v="0"/>
    <s v="Multilateral"/>
    <n v="46233811.505013749"/>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11"/>
    <x v="35"/>
    <s v="Other Public Financer"/>
    <n v="5316000"/>
    <s v="Not identified"/>
    <m/>
    <m/>
    <x v="245"/>
    <s v="Parliamentary Inquiry"/>
    <x v="3"/>
    <x v="3"/>
    <x v="65"/>
    <m/>
    <s v="PENDING avg exchange rate for 2014 1.329"/>
    <m/>
    <m/>
    <x v="1"/>
    <s v="Coal-fired district heating"/>
    <s v="Financing"/>
    <m/>
    <n v="0"/>
    <n v="0"/>
    <m/>
    <m/>
    <m/>
  </r>
  <r>
    <x v="11"/>
    <x v="35"/>
    <s v="Other Public Financer"/>
    <n v="75753000"/>
    <s v="Not identified"/>
    <m/>
    <m/>
    <x v="248"/>
    <s v="Parliamentary Inquiry"/>
    <x v="3"/>
    <x v="3"/>
    <x v="61"/>
    <m/>
    <s v="PENDING avg exchange rate for 2014 1.329"/>
    <m/>
    <m/>
    <x v="1"/>
    <s v="Coal-fired district heating"/>
    <s v="Financing"/>
    <n v="0"/>
    <n v="0"/>
    <n v="0"/>
    <m/>
    <m/>
    <m/>
  </r>
  <r>
    <x v="11"/>
    <x v="37"/>
    <s v="Other Public Financer"/>
    <n v="16670000.000000002"/>
    <m/>
    <m/>
    <m/>
    <x v="182"/>
    <s v="https://ijglobal.com/data/transaction/26159/polesine-san-gabriel-wind-farm-financing-50mw"/>
    <x v="65"/>
    <x v="4"/>
    <x v="16"/>
    <m/>
    <m/>
    <m/>
    <m/>
    <x v="3"/>
    <s v="Onshore Wind"/>
    <s v="Financial Close"/>
    <n v="50"/>
    <n v="5.6903636595000001E-2"/>
    <n v="2.2761454637999998"/>
    <m/>
    <n v="50"/>
    <m/>
  </r>
  <r>
    <x v="11"/>
    <x v="35"/>
    <s v="Other Public Financer"/>
    <n v="19930000"/>
    <m/>
    <m/>
    <m/>
    <x v="249"/>
    <s v="https://ijglobal.com/data/transaction/26256/murray-onshore-wind-rothes-ii-and-mid-hill-wind-financing-1173mw"/>
    <x v="84"/>
    <x v="3"/>
    <x v="52"/>
    <s v="Scotland"/>
    <m/>
    <m/>
    <m/>
    <x v="3"/>
    <s v="Onshore Wind"/>
    <s v="Financial Close"/>
    <n v="29.324999999999999"/>
    <n v="3.3373982862967499E-2"/>
    <n v="1.3349593145187"/>
    <m/>
    <n v="29.324999999999999"/>
    <m/>
  </r>
  <r>
    <x v="11"/>
    <x v="35"/>
    <s v="Other Public Financer"/>
    <n v="3530000"/>
    <m/>
    <m/>
    <m/>
    <x v="249"/>
    <s v="https://ijglobal.com/data/transaction/26256/murray-onshore-wind-rothes-ii-and-mid-hill-wind-financing-1173mw"/>
    <x v="84"/>
    <x v="3"/>
    <x v="52"/>
    <s v="Scotland"/>
    <m/>
    <m/>
    <m/>
    <x v="3"/>
    <s v="Onshore Wind"/>
    <s v="Financial Close"/>
    <n v="29.324999999999999"/>
    <n v="3.3373982862967499E-2"/>
    <n v="1.3349593145187"/>
    <m/>
    <n v="29.324999999999999"/>
    <m/>
  </r>
  <r>
    <x v="11"/>
    <x v="35"/>
    <s v="Other Public Financer"/>
    <n v="6490000"/>
    <m/>
    <m/>
    <m/>
    <x v="249"/>
    <s v="https://ijglobal.com/data/transaction/26256/murray-onshore-wind-rothes-ii-and-mid-hill-wind-financing-1173mw"/>
    <x v="84"/>
    <x v="3"/>
    <x v="52"/>
    <s v="Scotland"/>
    <m/>
    <m/>
    <m/>
    <x v="3"/>
    <s v="Onshore Wind"/>
    <s v="Financial Close"/>
    <n v="29.324999999999999"/>
    <n v="3.3373982862967499E-2"/>
    <n v="1.3349593145187"/>
    <m/>
    <n v="29.324999999999999"/>
    <m/>
  </r>
  <r>
    <x v="11"/>
    <x v="35"/>
    <s v="Other Public Financer"/>
    <n v="14540000"/>
    <m/>
    <m/>
    <m/>
    <x v="249"/>
    <s v="https://ijglobal.com/data/transaction/26256/murray-onshore-wind-rothes-ii-and-mid-hill-wind-financing-1173mw"/>
    <x v="84"/>
    <x v="3"/>
    <x v="52"/>
    <s v="Scotland"/>
    <m/>
    <m/>
    <m/>
    <x v="3"/>
    <s v="Onshore Wind"/>
    <s v="Financial Close"/>
    <n v="29.324999999999999"/>
    <n v="3.3373982862967499E-2"/>
    <n v="1.3349593145187"/>
    <m/>
    <n v="29.324999999999999"/>
    <m/>
  </r>
  <r>
    <x v="11"/>
    <x v="37"/>
    <s v="Other Public Financer"/>
    <n v="11720000"/>
    <m/>
    <m/>
    <m/>
    <x v="162"/>
    <s v="https://ijglobal.com/data/transaction/26446/pintado-wind-farm-financing-luz-de-mar-88mw"/>
    <x v="52"/>
    <x v="4"/>
    <x v="16"/>
    <m/>
    <m/>
    <m/>
    <m/>
    <x v="3"/>
    <s v="Onshore Wind"/>
    <s v="Financial Close"/>
    <n v="88"/>
    <n v="0.1001504004072"/>
    <n v="4.0060160162880001"/>
    <m/>
    <n v="88"/>
    <m/>
  </r>
  <r>
    <x v="11"/>
    <x v="35"/>
    <s v="Other Public Financer"/>
    <n v="122750000"/>
    <m/>
    <m/>
    <m/>
    <x v="250"/>
    <s v="https://ijglobal.com/data/transaction/26513/vents-du-kempt-wind-farm-financing-101mw"/>
    <x v="85"/>
    <x v="9"/>
    <x v="66"/>
    <s v="Quebec"/>
    <m/>
    <m/>
    <m/>
    <x v="3"/>
    <s v="Onshore Wind"/>
    <s v="Financial Close"/>
    <n v="101"/>
    <n v="0.11494534592189999"/>
    <n v="4.597813836876"/>
    <m/>
    <n v="101"/>
    <m/>
  </r>
  <r>
    <x v="11"/>
    <x v="35"/>
    <s v="Other Public Financer"/>
    <n v="136000000"/>
    <m/>
    <m/>
    <m/>
    <x v="183"/>
    <s v="https://ijglobal.com/data/transaction/21380/ouarzazate-thermal-solar-ipp-noor-phase-i-160mw"/>
    <x v="66"/>
    <x v="7"/>
    <x v="21"/>
    <m/>
    <m/>
    <m/>
    <m/>
    <x v="3"/>
    <s v="Photovoltaic Solar,Thermal Solar"/>
    <s v="Financial Close"/>
    <n v="26.666666666666668"/>
    <n v="3.0348606183999999E-2"/>
    <n v="1.21394424736"/>
    <m/>
    <n v="26.666666666666668"/>
    <m/>
  </r>
  <r>
    <x v="11"/>
    <x v="35"/>
    <s v="Other Public Financer"/>
    <n v="56050000"/>
    <m/>
    <m/>
    <m/>
    <x v="251"/>
    <s v="https://ijglobal.com/data/transaction/27924/skogberget-wind-farm-financing-846mw"/>
    <x v="86"/>
    <x v="3"/>
    <x v="67"/>
    <m/>
    <m/>
    <m/>
    <m/>
    <x v="3"/>
    <s v="Onshore Wind"/>
    <s v="Financial Close"/>
    <n v="84.6"/>
    <n v="9.6280953118739993E-2"/>
    <n v="3.8512381247495995"/>
    <m/>
    <n v="84.6"/>
    <m/>
  </r>
  <r>
    <x v="11"/>
    <x v="35"/>
    <s v="Other Public Financer"/>
    <n v="56900000"/>
    <m/>
    <m/>
    <m/>
    <x v="252"/>
    <s v="https://ijglobal.com/data/transaction/27810/viger-denonville-wind-farm-financing-25mw"/>
    <x v="87"/>
    <x v="9"/>
    <x v="66"/>
    <s v="Quebec"/>
    <m/>
    <m/>
    <m/>
    <x v="3"/>
    <s v="Onshore Wind"/>
    <s v="Financial Close"/>
    <n v="25"/>
    <n v="2.8451818297500001E-2"/>
    <n v="1.1380727318999999"/>
    <m/>
    <n v="25"/>
    <m/>
  </r>
  <r>
    <x v="11"/>
    <x v="35"/>
    <s v="Other Public Financer"/>
    <n v="79500000"/>
    <m/>
    <m/>
    <m/>
    <x v="253"/>
    <s v="https://ijglobal.com/data/transaction/27813/generacion-eolica-minas-financing-42mw"/>
    <x v="88"/>
    <x v="4"/>
    <x v="16"/>
    <m/>
    <m/>
    <m/>
    <m/>
    <x v="3"/>
    <s v="Onshore Wind"/>
    <s v="Financial Close"/>
    <n v="42"/>
    <n v="4.77990547398E-2"/>
    <n v="1.911962189592"/>
    <m/>
    <n v="42"/>
    <m/>
  </r>
  <r>
    <x v="11"/>
    <x v="35"/>
    <s v="Other Public Financer"/>
    <n v="52900000"/>
    <m/>
    <m/>
    <m/>
    <x v="254"/>
    <s v="https://ijglobal.com/data/transaction/28037/seigneurie-de-beaupre-wind-farm-financing-phase-2-68mw"/>
    <x v="89"/>
    <x v="9"/>
    <x v="66"/>
    <s v="Quebec"/>
    <m/>
    <m/>
    <m/>
    <x v="3"/>
    <s v="Onshore Wind"/>
    <s v="Financial Close"/>
    <n v="68"/>
    <n v="7.7388945769199996E-2"/>
    <n v="3.0955578307679996"/>
    <m/>
    <n v="68"/>
    <m/>
  </r>
  <r>
    <x v="11"/>
    <x v="37"/>
    <s v="Other Public Financer"/>
    <n v="18500000"/>
    <m/>
    <m/>
    <m/>
    <x v="255"/>
    <s v="https://ijglobal.com/data/transaction/27790/la-huayca-ii-solar-pv-financing-291mw"/>
    <x v="90"/>
    <x v="4"/>
    <x v="10"/>
    <m/>
    <m/>
    <m/>
    <m/>
    <x v="3"/>
    <s v="Photovoltaic Solar"/>
    <s v="Financial Close"/>
    <n v="9.7000000000000011"/>
    <n v="1.1039305499430002E-2"/>
    <n v="0.44157221997720009"/>
    <m/>
    <n v="9.7000000000000011"/>
    <m/>
  </r>
  <r>
    <x v="11"/>
    <x v="35"/>
    <s v="Other Public Financer"/>
    <n v="21000000"/>
    <m/>
    <m/>
    <m/>
    <x v="256"/>
    <s v="https://ijglobal.com/data/transaction/28346/tallentire-hill-and-10mw-meikle-carewe-wind-farm-financing-12mw"/>
    <x v="91"/>
    <x v="3"/>
    <x v="52"/>
    <s v="England,Scotland"/>
    <m/>
    <m/>
    <m/>
    <x v="3"/>
    <s v="Onshore Wind"/>
    <s v="Financial Close"/>
    <n v="3"/>
    <n v="3.4142181956999997E-3"/>
    <n v="0.136568727828"/>
    <m/>
    <n v="3"/>
    <m/>
  </r>
  <r>
    <x v="11"/>
    <x v="35"/>
    <s v="Other Public Financer"/>
    <n v="680000"/>
    <m/>
    <m/>
    <m/>
    <x v="256"/>
    <s v="https://ijglobal.com/data/transaction/28346/tallentire-hill-and-10mw-meikle-carewe-wind-farm-financing-12mw"/>
    <x v="91"/>
    <x v="3"/>
    <x v="52"/>
    <s v="England,Scotland"/>
    <m/>
    <m/>
    <m/>
    <x v="3"/>
    <s v="Onshore Wind"/>
    <s v="Financial Close"/>
    <n v="3"/>
    <n v="3.4142181956999997E-3"/>
    <n v="0.136568727828"/>
    <m/>
    <n v="3"/>
    <m/>
  </r>
  <r>
    <x v="11"/>
    <x v="35"/>
    <s v="Other Public Financer"/>
    <n v="23820000"/>
    <m/>
    <m/>
    <m/>
    <x v="256"/>
    <s v="https://ijglobal.com/data/transaction/28346/tallentire-hill-and-10mw-meikle-carewe-wind-farm-financing-12mw"/>
    <x v="91"/>
    <x v="3"/>
    <x v="52"/>
    <s v="England,Scotland"/>
    <m/>
    <m/>
    <m/>
    <x v="3"/>
    <s v="Onshore Wind"/>
    <s v="Financial Close"/>
    <n v="3"/>
    <n v="3.4142181956999997E-3"/>
    <n v="0.136568727828"/>
    <m/>
    <n v="3"/>
    <m/>
  </r>
  <r>
    <x v="11"/>
    <x v="35"/>
    <s v="Other Public Financer"/>
    <n v="750000"/>
    <m/>
    <m/>
    <m/>
    <x v="256"/>
    <s v="https://ijglobal.com/data/transaction/28346/tallentire-hill-and-10mw-meikle-carewe-wind-farm-financing-12mw"/>
    <x v="91"/>
    <x v="3"/>
    <x v="52"/>
    <s v="England,Scotland"/>
    <m/>
    <m/>
    <m/>
    <x v="3"/>
    <s v="Onshore Wind"/>
    <s v="Financial Close"/>
    <n v="3"/>
    <n v="3.4142181956999997E-3"/>
    <n v="0.136568727828"/>
    <m/>
    <n v="3"/>
    <m/>
  </r>
  <r>
    <x v="11"/>
    <x v="35"/>
    <s v="Other Public Financer"/>
    <n v="136380000"/>
    <m/>
    <m/>
    <m/>
    <x v="257"/>
    <s v="https://ijglobal.com/data/transaction/28471/nop-agrowind-farm-195mw"/>
    <x v="92"/>
    <x v="3"/>
    <x v="11"/>
    <m/>
    <m/>
    <m/>
    <m/>
    <x v="3"/>
    <s v="Onshore Wind"/>
    <s v="Financial Close"/>
    <n v="97.5"/>
    <n v="0.11096209136025001"/>
    <n v="4.4384836544100006"/>
    <m/>
    <n v="97.5"/>
    <m/>
  </r>
  <r>
    <x v="11"/>
    <x v="35"/>
    <s v="Other Public Financer"/>
    <n v="89910000"/>
    <m/>
    <m/>
    <m/>
    <x v="258"/>
    <s v="https://ijglobal.com/data/transaction/30219/fortel-bonnieres-and-saint-fran-ois-wind-financing-456mw"/>
    <x v="93"/>
    <x v="3"/>
    <x v="68"/>
    <m/>
    <m/>
    <m/>
    <m/>
    <x v="3"/>
    <s v="Onshore Wind"/>
    <s v="Financial Close"/>
    <n v="45.6"/>
    <n v="5.1896116574640001E-2"/>
    <n v="2.0758446629856002"/>
    <m/>
    <n v="45.6"/>
    <m/>
  </r>
  <r>
    <x v="11"/>
    <x v="34"/>
    <s v="Export Credit &amp; Insurance "/>
    <n v="479900000"/>
    <m/>
    <m/>
    <m/>
    <x v="15"/>
    <s v="https://ijglobal.com/data/transaction/28178/gemini-offshore-wind-farm-600mw"/>
    <x v="12"/>
    <x v="3"/>
    <x v="11"/>
    <m/>
    <m/>
    <m/>
    <m/>
    <x v="3"/>
    <s v="Offshore Wind"/>
    <s v="Financial Close"/>
    <n v="200"/>
    <n v="0.22761454638"/>
    <n v="9.1045818551999993"/>
    <m/>
    <n v="200"/>
    <m/>
  </r>
  <r>
    <x v="11"/>
    <x v="35"/>
    <s v="Other Public Financer"/>
    <n v="119000000"/>
    <m/>
    <m/>
    <m/>
    <x v="259"/>
    <s v="https://ijglobal.com/data/transaction/30839/temiscouata-ii-wind-farm-50mw"/>
    <x v="94"/>
    <x v="9"/>
    <x v="66"/>
    <s v="Quebec"/>
    <m/>
    <m/>
    <m/>
    <x v="3"/>
    <s v="Onshore Wind"/>
    <s v="Financial Close"/>
    <n v="25"/>
    <n v="2.8451818297500001E-2"/>
    <n v="1.1380727318999999"/>
    <m/>
    <n v="25"/>
    <m/>
  </r>
  <r>
    <x v="11"/>
    <x v="35"/>
    <s v="Other Public Financer"/>
    <n v="14710000"/>
    <m/>
    <m/>
    <m/>
    <x v="259"/>
    <s v="https://ijglobal.com/data/transaction/30839/temiscouata-ii-wind-farm-50mw"/>
    <x v="94"/>
    <x v="9"/>
    <x v="66"/>
    <s v="Quebec"/>
    <m/>
    <m/>
    <m/>
    <x v="3"/>
    <s v="Onshore Wind"/>
    <s v="Financial Close"/>
    <n v="25"/>
    <n v="2.8451818297500001E-2"/>
    <n v="1.1380727318999999"/>
    <m/>
    <n v="25"/>
    <m/>
  </r>
  <r>
    <x v="11"/>
    <x v="35"/>
    <s v="Other Public Financer"/>
    <n v="108860000"/>
    <m/>
    <m/>
    <m/>
    <x v="260"/>
    <s v="https://ijglobal.com/data/transaction/35033/bogoria-silali-geothermal-power-plant-800mw-additional-facility"/>
    <x v="95"/>
    <x v="0"/>
    <x v="49"/>
    <m/>
    <m/>
    <m/>
    <m/>
    <x v="3"/>
    <s v="Geothermal"/>
    <s v="Financial Close"/>
    <n v="800"/>
    <n v="0.91045818552000002"/>
    <n v="36.418327420799997"/>
    <m/>
    <n v="800"/>
    <m/>
  </r>
  <r>
    <x v="11"/>
    <x v="35"/>
    <s v="Other Public Financer"/>
    <n v="49700000"/>
    <m/>
    <m/>
    <m/>
    <x v="261"/>
    <s v="https://ijglobal.com/data/transaction/33662/hayabusa-wind-farm-portfolio-financing-2015-696mw"/>
    <x v="96"/>
    <x v="3"/>
    <x v="52"/>
    <s v="England,Scotland"/>
    <m/>
    <m/>
    <m/>
    <x v="3"/>
    <s v="Onshore Wind"/>
    <s v="Financial Close"/>
    <n v="69.599999999999994"/>
    <n v="7.9209862140240006E-2"/>
    <n v="3.1683944856096002"/>
    <m/>
    <n v="69.599999999999994"/>
    <m/>
  </r>
  <r>
    <x v="11"/>
    <x v="35"/>
    <s v="Other Public Financer"/>
    <n v="69130000"/>
    <m/>
    <m/>
    <m/>
    <x v="262"/>
    <s v="https://ijglobal.com/data/transaction/32092/la-coste-solar-farm-portfolio-576mw"/>
    <x v="97"/>
    <x v="3"/>
    <x v="68"/>
    <m/>
    <m/>
    <m/>
    <m/>
    <x v="3"/>
    <s v="Photovoltaic Solar"/>
    <s v="Financial Close"/>
    <n v="57.6"/>
    <n v="6.555298935744E-2"/>
    <n v="2.6221195742976002"/>
    <m/>
    <n v="57.6"/>
    <m/>
  </r>
  <r>
    <x v="11"/>
    <x v="37"/>
    <s v="Other Public Financer"/>
    <n v="24820000"/>
    <m/>
    <m/>
    <m/>
    <x v="187"/>
    <s v="https://ijglobal.com/data/transaction/20234/lake-turkana-wind-farm-300mw"/>
    <x v="68"/>
    <x v="0"/>
    <x v="49"/>
    <m/>
    <m/>
    <m/>
    <m/>
    <x v="3"/>
    <s v="Onshore Wind"/>
    <s v="Financial Close"/>
    <n v="75"/>
    <n v="8.5355454892500002E-2"/>
    <n v="3.4142181957000002"/>
    <m/>
    <n v="75"/>
    <m/>
  </r>
  <r>
    <x v="11"/>
    <x v="37"/>
    <s v="Other Public Financer"/>
    <n v="11000000"/>
    <m/>
    <m/>
    <m/>
    <x v="188"/>
    <s v="https://ijglobal.com/data/transaction/32820/mecanismos-de-energia-renovable-mecer-solar-pv-plant-25mw"/>
    <x v="8"/>
    <x v="4"/>
    <x v="7"/>
    <m/>
    <m/>
    <m/>
    <m/>
    <x v="3"/>
    <s v="Photovoltaic Solar"/>
    <s v="Financial Close"/>
    <n v="25"/>
    <n v="2.8451818297500001E-2"/>
    <n v="1.1380727318999999"/>
    <m/>
    <n v="25"/>
    <m/>
  </r>
  <r>
    <x v="11"/>
    <x v="35"/>
    <s v="Other Public Financer"/>
    <n v="89560000"/>
    <m/>
    <m/>
    <m/>
    <x v="263"/>
    <s v="https://ijglobal.com/data/transaction/31173/gibson-bay-wind-farm-111mw"/>
    <x v="98"/>
    <x v="0"/>
    <x v="1"/>
    <m/>
    <m/>
    <m/>
    <m/>
    <x v="3"/>
    <s v="Onshore Wind"/>
    <s v="Financial Close"/>
    <n v="111"/>
    <n v="0.12632607324090001"/>
    <n v="5.0530429296359998"/>
    <m/>
    <n v="111"/>
    <m/>
  </r>
  <r>
    <x v="11"/>
    <x v="37"/>
    <s v="Other Public Financer"/>
    <n v="8340000"/>
    <m/>
    <m/>
    <m/>
    <x v="189"/>
    <s v="https://ijglobal.com/data/transaction/32026/marcona-wind-farm-321mw"/>
    <x v="69"/>
    <x v="4"/>
    <x v="57"/>
    <m/>
    <m/>
    <m/>
    <m/>
    <x v="3"/>
    <s v="Onshore Wind"/>
    <s v="Financial Close"/>
    <n v="16.05"/>
    <n v="1.8266067346995003E-2"/>
    <n v="0.73064269387980008"/>
    <m/>
    <n v="16.05"/>
    <m/>
  </r>
  <r>
    <x v="11"/>
    <x v="37"/>
    <s v="Other Public Financer"/>
    <n v="15000000"/>
    <m/>
    <m/>
    <m/>
    <x v="190"/>
    <s v="https://ijglobal.com/data/transaction/26112/tres-hermanas-wind-farm-9715mw"/>
    <x v="69"/>
    <x v="4"/>
    <x v="57"/>
    <m/>
    <m/>
    <m/>
    <m/>
    <x v="3"/>
    <s v="Onshore Wind"/>
    <s v="Financial Close"/>
    <n v="48.575000000000003"/>
    <n v="5.5281882952042498E-2"/>
    <n v="2.2112753180816997"/>
    <m/>
    <n v="48.575000000000003"/>
    <m/>
  </r>
  <r>
    <x v="11"/>
    <x v="37"/>
    <s v="Other Public Financer"/>
    <n v="45500000"/>
    <m/>
    <m/>
    <m/>
    <x v="264"/>
    <s v="https://ijglobal.com/data/transaction/32469/aura-ii-solar-pv-plant-61mw"/>
    <x v="99"/>
    <x v="4"/>
    <x v="7"/>
    <m/>
    <m/>
    <m/>
    <m/>
    <x v="3"/>
    <s v="Photovoltaic Solar"/>
    <s v="Financial Close"/>
    <n v="20.333333333333332"/>
    <n v="2.3140812215300004E-2"/>
    <n v="0.9256324886120002"/>
    <m/>
    <n v="20.333333333333332"/>
    <m/>
  </r>
  <r>
    <x v="11"/>
    <x v="35"/>
    <s v="Other Public Financer"/>
    <n v="48930000"/>
    <m/>
    <m/>
    <m/>
    <x v="265"/>
    <s v="https://ijglobal.com/data/transaction/33825/silute-wind-farm-60mw"/>
    <x v="100"/>
    <x v="3"/>
    <x v="69"/>
    <m/>
    <m/>
    <m/>
    <m/>
    <x v="3"/>
    <s v="Onshore Wind"/>
    <s v="Financial Close"/>
    <n v="60"/>
    <n v="6.8284363914000015E-2"/>
    <n v="2.7313745565600005"/>
    <m/>
    <n v="60"/>
    <m/>
  </r>
  <r>
    <x v="11"/>
    <x v="35"/>
    <s v="Other Public Financer"/>
    <n v="68790000"/>
    <m/>
    <m/>
    <m/>
    <x v="266"/>
    <s v="https://ijglobal.com/data/transaction/33083/san-juan-wind-farm-185mw"/>
    <x v="101"/>
    <x v="4"/>
    <x v="10"/>
    <m/>
    <m/>
    <m/>
    <m/>
    <x v="3"/>
    <s v="Onshore Wind"/>
    <s v="Financial Close"/>
    <n v="92.5"/>
    <n v="0.10527172770075"/>
    <n v="4.2108691080299998"/>
    <m/>
    <n v="92.5"/>
    <m/>
  </r>
  <r>
    <x v="11"/>
    <x v="35"/>
    <s v="Other Public Financer"/>
    <n v="25760000"/>
    <m/>
    <m/>
    <m/>
    <x v="266"/>
    <s v="https://ijglobal.com/data/transaction/33083/san-juan-wind-farm-185mw"/>
    <x v="101"/>
    <x v="4"/>
    <x v="10"/>
    <m/>
    <m/>
    <m/>
    <m/>
    <x v="3"/>
    <s v="Onshore Wind"/>
    <s v="Financial Close"/>
    <n v="92.5"/>
    <n v="0.10527172770075"/>
    <n v="4.2108691080299998"/>
    <m/>
    <n v="92.5"/>
    <m/>
  </r>
  <r>
    <x v="11"/>
    <x v="35"/>
    <s v="Other Public Financer"/>
    <n v="98500000"/>
    <m/>
    <m/>
    <m/>
    <x v="267"/>
    <s v="https://ijglobal.com/data/transaction/28704/pampa-wind-farm-uruguay-1416mw"/>
    <x v="33"/>
    <x v="4"/>
    <x v="16"/>
    <m/>
    <m/>
    <m/>
    <m/>
    <x v="3"/>
    <s v="Onshore Wind"/>
    <s v="Financial Close"/>
    <n v="141.6"/>
    <n v="0.16115109883703999"/>
    <n v="6.446043953481599"/>
    <m/>
    <n v="141.6"/>
    <m/>
  </r>
  <r>
    <x v="11"/>
    <x v="35"/>
    <s v="Other Public Financer"/>
    <n v="128100000"/>
    <m/>
    <m/>
    <m/>
    <x v="192"/>
    <s v="https://ijglobal.com/data/transaction/28128/noor-ii-concentrated-solar-power-csp-plant-200mw"/>
    <x v="62"/>
    <x v="7"/>
    <x v="21"/>
    <m/>
    <m/>
    <m/>
    <m/>
    <x v="3"/>
    <s v="Thermal Solar"/>
    <s v="Financial Close"/>
    <n v="33.333333333333336"/>
    <n v="3.7935757729999998E-2"/>
    <n v="1.5174303091999999"/>
    <m/>
    <n v="33.333333333333336"/>
    <m/>
  </r>
  <r>
    <x v="11"/>
    <x v="35"/>
    <s v="Other Public Financer"/>
    <n v="88100000"/>
    <m/>
    <m/>
    <m/>
    <x v="193"/>
    <s v="https://ijglobal.com/data/transaction/28129/noor-iii-concentrated-solar-power-csp-plant-150mw"/>
    <x v="62"/>
    <x v="7"/>
    <x v="21"/>
    <m/>
    <m/>
    <m/>
    <m/>
    <x v="3"/>
    <s v="Thermal Solar"/>
    <s v="Financial Close"/>
    <n v="25"/>
    <n v="2.8451818297500001E-2"/>
    <n v="1.1380727318999999"/>
    <m/>
    <n v="25"/>
    <m/>
  </r>
  <r>
    <x v="11"/>
    <x v="38"/>
    <s v="Export Credit &amp; Insurance "/>
    <n v="54110000"/>
    <m/>
    <m/>
    <m/>
    <x v="268"/>
    <s v="https://ijglobal.com/data/transaction/33058/krnovo-wind-farm-72mw"/>
    <x v="102"/>
    <x v="3"/>
    <x v="39"/>
    <m/>
    <m/>
    <m/>
    <m/>
    <x v="3"/>
    <s v="Onshore Wind"/>
    <s v="Financial Close"/>
    <n v="36"/>
    <n v="4.0970618348399997E-2"/>
    <n v="1.6388247339359998"/>
    <m/>
    <n v="36"/>
    <m/>
  </r>
  <r>
    <x v="11"/>
    <x v="35"/>
    <s v="Other Public Financer"/>
    <n v="27680000"/>
    <m/>
    <m/>
    <m/>
    <x v="269"/>
    <s v="https://ijglobal.com/data/transaction/34521/melfi-alfa-wind-farm-288mw"/>
    <x v="103"/>
    <x v="3"/>
    <x v="70"/>
    <m/>
    <m/>
    <m/>
    <m/>
    <x v="3"/>
    <s v="Onshore Wind"/>
    <s v="Financial Close"/>
    <n v="28.8"/>
    <n v="3.277649467872E-2"/>
    <n v="1.3110597871488001"/>
    <m/>
    <n v="28.8"/>
    <m/>
  </r>
  <r>
    <x v="11"/>
    <x v="35"/>
    <s v="Other Public Financer"/>
    <n v="50840000"/>
    <m/>
    <m/>
    <m/>
    <x v="270"/>
    <s v="https://ijglobal.com/data/transaction/30112/temiscouata-i-wind-park-235mw"/>
    <x v="104"/>
    <x v="9"/>
    <x v="66"/>
    <s v="Quebec"/>
    <m/>
    <m/>
    <m/>
    <x v="3"/>
    <s v="Onshore Wind"/>
    <s v="Financial Close"/>
    <n v="11.75"/>
    <n v="1.3372354599825002E-2"/>
    <n v="0.53489418399300004"/>
    <m/>
    <n v="11.75"/>
    <m/>
  </r>
  <r>
    <x v="11"/>
    <x v="35"/>
    <s v="Other Public Financer"/>
    <n v="8910000"/>
    <m/>
    <m/>
    <m/>
    <x v="270"/>
    <s v="https://ijglobal.com/data/transaction/30112/temiscouata-i-wind-park-235mw"/>
    <x v="104"/>
    <x v="9"/>
    <x v="66"/>
    <s v="Quebec"/>
    <m/>
    <m/>
    <m/>
    <x v="3"/>
    <s v="Onshore Wind"/>
    <s v="Financial Close"/>
    <n v="11.75"/>
    <n v="1.3372354599825002E-2"/>
    <n v="0.53489418399300004"/>
    <m/>
    <n v="11.75"/>
    <m/>
  </r>
  <r>
    <x v="11"/>
    <x v="35"/>
    <s v="Other Public Financer"/>
    <n v="0"/>
    <m/>
    <m/>
    <m/>
    <x v="167"/>
    <s v="https://ijglobal.com/data/transaction/16901/gabal-el-zeit-wind-farm-200mw"/>
    <x v="56"/>
    <x v="7"/>
    <x v="32"/>
    <m/>
    <m/>
    <m/>
    <m/>
    <x v="3"/>
    <s v="Onshore Wind"/>
    <s v="Financial Close"/>
    <n v="66.666666666666671"/>
    <n v="7.5871515459999997E-2"/>
    <n v="3.0348606183999998"/>
    <m/>
    <n v="66.666666666666671"/>
    <m/>
  </r>
  <r>
    <x v="11"/>
    <x v="35"/>
    <s v="Other Public Financer"/>
    <n v="108150000"/>
    <m/>
    <m/>
    <m/>
    <x v="271"/>
    <s v="https://ijglobal.com/data/transaction/20166/dudgeon-offshore-wind-farm-402mw"/>
    <x v="105"/>
    <x v="3"/>
    <x v="52"/>
    <s v="England"/>
    <m/>
    <m/>
    <m/>
    <x v="3"/>
    <s v="Offshore Wind"/>
    <s v="Financial Close"/>
    <n v="402"/>
    <n v="0.45750523822380001"/>
    <n v="18.300209528951999"/>
    <m/>
    <n v="402"/>
    <m/>
  </r>
  <r>
    <x v="11"/>
    <x v="35"/>
    <s v="Other Public Financer"/>
    <n v="47600000"/>
    <m/>
    <m/>
    <m/>
    <x v="272"/>
    <s v="https://ijglobal.com/data/transaction/19433/beatrice-offshore-wind-farm-588mw"/>
    <x v="106"/>
    <x v="3"/>
    <x v="52"/>
    <s v="Scotland"/>
    <m/>
    <m/>
    <m/>
    <x v="3"/>
    <s v="Offshore Wind"/>
    <s v="Financial Close"/>
    <n v="65.333333333333329"/>
    <n v="7.4354085150800012E-2"/>
    <n v="2.9741634060320004"/>
    <m/>
    <n v="65.333333333333329"/>
    <m/>
  </r>
  <r>
    <x v="11"/>
    <x v="35"/>
    <s v="Other Public Financer"/>
    <n v="13440000"/>
    <m/>
    <m/>
    <m/>
    <x v="272"/>
    <s v="https://ijglobal.com/data/transaction/19433/beatrice-offshore-wind-farm-588mw"/>
    <x v="106"/>
    <x v="3"/>
    <x v="52"/>
    <s v="Scotland"/>
    <m/>
    <m/>
    <m/>
    <x v="3"/>
    <s v="Offshore Wind"/>
    <s v="Financial Close"/>
    <n v="65.333333333333329"/>
    <n v="7.4354085150800012E-2"/>
    <n v="2.9741634060320004"/>
    <m/>
    <n v="65.333333333333329"/>
    <m/>
  </r>
  <r>
    <x v="11"/>
    <x v="35"/>
    <s v="Other Public Financer"/>
    <n v="12200000"/>
    <m/>
    <m/>
    <m/>
    <x v="272"/>
    <s v="https://ijglobal.com/data/transaction/19433/beatrice-offshore-wind-farm-588mw"/>
    <x v="106"/>
    <x v="3"/>
    <x v="52"/>
    <s v="Scotland"/>
    <m/>
    <m/>
    <m/>
    <x v="3"/>
    <s v="Offshore Wind"/>
    <s v="Financial Close"/>
    <n v="65.333333333333329"/>
    <n v="7.4354085150800012E-2"/>
    <n v="2.9741634060320004"/>
    <m/>
    <n v="65.333333333333329"/>
    <m/>
  </r>
  <r>
    <x v="11"/>
    <x v="35"/>
    <s v="Other Public Financer"/>
    <n v="4740000"/>
    <m/>
    <m/>
    <m/>
    <x v="272"/>
    <s v="https://ijglobal.com/data/transaction/19433/beatrice-offshore-wind-farm-588mw"/>
    <x v="106"/>
    <x v="3"/>
    <x v="52"/>
    <s v="Scotland"/>
    <m/>
    <m/>
    <m/>
    <x v="3"/>
    <s v="Offshore Wind"/>
    <s v="Financial Close"/>
    <n v="65.333333333333329"/>
    <n v="7.4354085150800012E-2"/>
    <n v="2.9741634060320004"/>
    <m/>
    <n v="65.333333333333329"/>
    <m/>
  </r>
  <r>
    <x v="11"/>
    <x v="35"/>
    <s v="Other Public Financer"/>
    <n v="4040000"/>
    <m/>
    <m/>
    <m/>
    <x v="272"/>
    <s v="https://ijglobal.com/data/transaction/19433/beatrice-offshore-wind-farm-588mw"/>
    <x v="106"/>
    <x v="3"/>
    <x v="52"/>
    <s v="Scotland"/>
    <m/>
    <m/>
    <m/>
    <x v="3"/>
    <s v="Offshore Wind"/>
    <s v="Financial Close"/>
    <n v="65.333333333333329"/>
    <n v="7.4354085150800012E-2"/>
    <n v="2.9741634060320004"/>
    <m/>
    <n v="65.333333333333329"/>
    <m/>
  </r>
  <r>
    <x v="11"/>
    <x v="35"/>
    <s v="Other Public Financer"/>
    <n v="1240000"/>
    <m/>
    <m/>
    <m/>
    <x v="272"/>
    <s v="https://ijglobal.com/data/transaction/19433/beatrice-offshore-wind-farm-588mw"/>
    <x v="106"/>
    <x v="3"/>
    <x v="52"/>
    <s v="Scotland"/>
    <m/>
    <m/>
    <m/>
    <x v="3"/>
    <s v="Offshore Wind"/>
    <s v="Financial Close"/>
    <n v="65.333333333333329"/>
    <n v="7.4354085150800012E-2"/>
    <n v="2.9741634060320004"/>
    <m/>
    <n v="65.333333333333329"/>
    <m/>
  </r>
  <r>
    <x v="11"/>
    <x v="35"/>
    <s v="Other Public Financer"/>
    <n v="3600000"/>
    <m/>
    <m/>
    <m/>
    <x v="272"/>
    <s v="https://ijglobal.com/data/transaction/19433/beatrice-offshore-wind-farm-588mw"/>
    <x v="106"/>
    <x v="3"/>
    <x v="52"/>
    <s v="Scotland"/>
    <m/>
    <m/>
    <m/>
    <x v="3"/>
    <s v="Offshore Wind"/>
    <s v="Financial Close"/>
    <n v="65.333333333333329"/>
    <n v="7.4354085150800012E-2"/>
    <n v="2.9741634060320004"/>
    <m/>
    <n v="65.333333333333329"/>
    <m/>
  </r>
  <r>
    <x v="11"/>
    <x v="35"/>
    <s v="Other Public Financer"/>
    <n v="63980000"/>
    <m/>
    <m/>
    <m/>
    <x v="273"/>
    <s v="https://ijglobal.com/data/transaction/35715/hornsdale-wind-farm-phase-2-100mw"/>
    <x v="107"/>
    <x v="2"/>
    <x v="3"/>
    <s v="South Australia"/>
    <m/>
    <m/>
    <m/>
    <x v="3"/>
    <s v="Onshore Wind"/>
    <s v="Financial Close"/>
    <n v="100"/>
    <n v="0.11380727319"/>
    <n v="4.5522909275999996"/>
    <m/>
    <n v="100"/>
    <m/>
  </r>
  <r>
    <x v="11"/>
    <x v="38"/>
    <s v="Export Credit &amp; Insurance "/>
    <n v="77240000"/>
    <m/>
    <m/>
    <m/>
    <x v="274"/>
    <s v="https://ijglobal.com/data/transaction/35688/rentel-offshore-wind-farm-309mw"/>
    <x v="108"/>
    <x v="3"/>
    <x v="71"/>
    <m/>
    <m/>
    <m/>
    <m/>
    <x v="3"/>
    <s v="Offshore Wind"/>
    <s v="Financial Close"/>
    <n v="103"/>
    <n v="0.1172214913857"/>
    <n v="4.6888596554279998"/>
    <m/>
    <n v="103"/>
    <m/>
  </r>
  <r>
    <x v="11"/>
    <x v="39"/>
    <s v="Other Public Financer"/>
    <n v="17500000"/>
    <s v="Triconboston Consulting Corporation"/>
    <m/>
    <m/>
    <x v="275"/>
    <s v="https://ijglobal.com/data/transaction/36661/tbcc-thatta-district-wind-complex-150mw"/>
    <x v="109"/>
    <x v="5"/>
    <x v="19"/>
    <m/>
    <m/>
    <m/>
    <m/>
    <x v="3"/>
    <s v="Onshore Wind"/>
    <s v="Financial Close"/>
    <n v="37.5"/>
    <n v="4.2677727446250001E-2"/>
    <n v="1.7071090978500001"/>
    <m/>
    <n v="37.5"/>
    <m/>
  </r>
  <r>
    <x v="11"/>
    <x v="37"/>
    <s v="Other Public Financer"/>
    <n v="19420000"/>
    <m/>
    <m/>
    <m/>
    <x v="196"/>
    <s v="https://ijglobal.com/data/transaction/35855/al-rajef-wind-farm-82mw"/>
    <x v="73"/>
    <x v="7"/>
    <x v="56"/>
    <m/>
    <m/>
    <m/>
    <m/>
    <x v="3"/>
    <s v="Onshore Wind"/>
    <s v="Financial Close"/>
    <n v="41"/>
    <n v="4.6660982007900004E-2"/>
    <n v="1.8664392803160001"/>
    <m/>
    <n v="41"/>
    <m/>
  </r>
  <r>
    <x v="11"/>
    <x v="38"/>
    <s v="Other Public Financer"/>
    <n v="49250000"/>
    <m/>
    <m/>
    <m/>
    <x v="276"/>
    <s v="https://ijglobal.com/data/transaction/31939/belle-river-wind-farm-100mw"/>
    <x v="110"/>
    <x v="9"/>
    <x v="66"/>
    <s v="Ontario"/>
    <m/>
    <m/>
    <m/>
    <x v="3"/>
    <s v="Onshore Wind"/>
    <s v="Financial Close"/>
    <n v="25"/>
    <n v="2.8451818297500001E-2"/>
    <n v="1.1380727318999999"/>
    <m/>
    <n v="25"/>
    <m/>
  </r>
  <r>
    <x v="11"/>
    <x v="38"/>
    <s v="Other Public Financer"/>
    <n v="2430000"/>
    <m/>
    <m/>
    <m/>
    <x v="276"/>
    <s v="https://ijglobal.com/data/transaction/31939/belle-river-wind-farm-100mw"/>
    <x v="110"/>
    <x v="9"/>
    <x v="66"/>
    <s v="Ontario"/>
    <m/>
    <m/>
    <m/>
    <x v="3"/>
    <s v="Onshore Wind"/>
    <s v="Financial Close"/>
    <n v="25"/>
    <n v="2.8451818297500001E-2"/>
    <n v="1.1380727318999999"/>
    <m/>
    <n v="25"/>
    <m/>
  </r>
  <r>
    <x v="11"/>
    <x v="39"/>
    <s v="Other Public Financer"/>
    <n v="76400000"/>
    <s v="Egyptian Ministry of International Cooperation"/>
    <m/>
    <m/>
    <x v="277"/>
    <s v="https://www.kfw.de/KfW-Group/Newsroom/Aktuelles/Pressemitteilungen/Pressemitteilungen-Details_388480.html"/>
    <x v="111"/>
    <x v="7"/>
    <x v="32"/>
    <m/>
    <s v="The total costs of the wind farm including the associated infrastructure amount to EUR 340 million, of which KfW's share is EUR 72 million. The wind farm will have a capacity of 200 to 250 MW and supply power to 370,000 people. In addition, savings of roughly 300,000 tonnes of CO2 will be made. The wind farm will make a material contribution to the Egyptian renewable energy expansion plan, according to which 20 percent of Egyptian electricity generating capacity should come from renewable energies by 2022. Converted 72 million Euros to USD. "/>
    <m/>
    <m/>
    <x v="3"/>
    <s v="Onshore Wind"/>
    <s v="Financial Close"/>
    <n v="225"/>
    <n v="0.25606636467749999"/>
    <n v="10.242654587099999"/>
    <m/>
    <n v="225"/>
    <m/>
  </r>
  <r>
    <x v="11"/>
    <x v="35"/>
    <s v="Other Public Financer"/>
    <n v="47320000"/>
    <s v="Pattern Energy, Samsung, and Entegrus"/>
    <m/>
    <m/>
    <x v="278"/>
    <s v="https://ijglobal.com/data/transaction/38166/north-kent-wind-i-wind-farm-100mw"/>
    <x v="112"/>
    <x v="9"/>
    <x v="66"/>
    <s v="Ontario"/>
    <m/>
    <m/>
    <m/>
    <x v="3"/>
    <s v="Onshore Wind"/>
    <s v="Financial Close"/>
    <n v="11.111111111111111"/>
    <n v="1.2645252576666667E-2"/>
    <n v="0.50581010306666663"/>
    <m/>
    <n v="11.111111111111111"/>
    <m/>
  </r>
  <r>
    <x v="11"/>
    <x v="37"/>
    <s v="Other Public Financer"/>
    <n v="40000000"/>
    <m/>
    <m/>
    <m/>
    <x v="198"/>
    <s v="https://ijglobal.com/data/transaction/36396/pan-african-solar-pv-plant-75mw"/>
    <x v="3"/>
    <x v="0"/>
    <x v="0"/>
    <m/>
    <m/>
    <m/>
    <m/>
    <x v="3"/>
    <s v="Photovoltaic Solar"/>
    <s v="Financing"/>
    <n v="75"/>
    <n v="8.5355454892500002E-2"/>
    <n v="3.4142181957000002"/>
    <m/>
    <n v="75"/>
    <m/>
  </r>
  <r>
    <x v="11"/>
    <x v="40"/>
    <s v="Other Public Financer"/>
    <n v="57000000"/>
    <m/>
    <m/>
    <m/>
    <x v="279"/>
    <s v="https://ijglobal.com/data/transaction/36031/west-nile-csp-plant-100mw"/>
    <x v="3"/>
    <x v="7"/>
    <x v="32"/>
    <m/>
    <m/>
    <m/>
    <m/>
    <x v="3"/>
    <s v="Thermal Solar"/>
    <s v="Pre-financing"/>
    <n v="14.285714285714286"/>
    <n v="1.6258181884285714E-2"/>
    <n v="0.65032727537142854"/>
    <m/>
    <n v="14.285714285714286"/>
    <m/>
  </r>
  <r>
    <x v="11"/>
    <x v="35"/>
    <s v="Other Public Financer"/>
    <n v="86670000"/>
    <m/>
    <m/>
    <m/>
    <x v="280"/>
    <s v="https://ijglobal.com/data/transaction/35979/aela-energia-chilean-wind-portfolio-299mw"/>
    <x v="3"/>
    <x v="4"/>
    <x v="10"/>
    <m/>
    <m/>
    <m/>
    <m/>
    <x v="3"/>
    <s v="Onshore Wind"/>
    <s v="Financing"/>
    <n v="149.5"/>
    <n v="0.17014187341904999"/>
    <n v="6.8056749367619993"/>
    <m/>
    <n v="149.5"/>
    <m/>
  </r>
  <r>
    <x v="11"/>
    <x v="35"/>
    <s v="Other Public Financer"/>
    <n v="0"/>
    <m/>
    <m/>
    <m/>
    <x v="172"/>
    <s v="https://ijglobal.com/data/transaction/34017/atacama-1-solar-complex-210mw"/>
    <x v="3"/>
    <x v="4"/>
    <x v="10"/>
    <m/>
    <m/>
    <m/>
    <m/>
    <x v="3"/>
    <s v="Photovoltaic Solar,Thermal Solar"/>
    <s v="Financing"/>
    <n v="70"/>
    <n v="7.9665091233000015E-2"/>
    <n v="3.1866036493200007"/>
    <m/>
    <n v="70"/>
    <m/>
  </r>
  <r>
    <x v="11"/>
    <x v="35"/>
    <s v="Other Public Financer"/>
    <n v="0"/>
    <m/>
    <m/>
    <m/>
    <x v="281"/>
    <s v="https://ijglobal.com/data/transaction/32811/dolovo-wind-farm-158mw"/>
    <x v="3"/>
    <x v="3"/>
    <x v="5"/>
    <m/>
    <m/>
    <m/>
    <m/>
    <x v="3"/>
    <s v="Onshore Wind"/>
    <s v="Financing"/>
    <n v="52.666666666666664"/>
    <n v="5.9938497213399999E-2"/>
    <n v="2.397539888536"/>
    <m/>
    <n v="52.666666666666664"/>
    <m/>
  </r>
  <r>
    <x v="11"/>
    <x v="35"/>
    <s v="Other Public Financer"/>
    <n v="100000000"/>
    <m/>
    <m/>
    <m/>
    <x v="202"/>
    <s v="https://ijglobal.com/data/transaction/27999/kiwano-solar-thermal-plant-100mw"/>
    <x v="3"/>
    <x v="0"/>
    <x v="1"/>
    <m/>
    <m/>
    <m/>
    <m/>
    <x v="3"/>
    <s v="Thermal Solar"/>
    <s v="Financing"/>
    <n v="16.666666666666668"/>
    <n v="1.8967878864999999E-2"/>
    <n v="0.75871515459999994"/>
    <m/>
    <n v="16.666666666666668"/>
    <m/>
  </r>
  <r>
    <x v="11"/>
    <x v="35"/>
    <s v="Other Public Financer"/>
    <n v="0"/>
    <m/>
    <m/>
    <m/>
    <x v="203"/>
    <s v="https://ijglobal.com/data/transaction/35032/meru-wind-farm-phase-1-100mw"/>
    <x v="3"/>
    <x v="0"/>
    <x v="49"/>
    <m/>
    <m/>
    <m/>
    <m/>
    <x v="3"/>
    <s v="Onshore Wind"/>
    <s v="Financing"/>
    <n v="50"/>
    <n v="5.6903636595000001E-2"/>
    <n v="2.2761454637999998"/>
    <m/>
    <n v="50"/>
    <m/>
  </r>
  <r>
    <x v="11"/>
    <x v="35"/>
    <s v="Other Public Financer"/>
    <n v="140440000"/>
    <m/>
    <m/>
    <m/>
    <x v="282"/>
    <s v="https://ijglobal.com/data/transaction/28728/morocco-onee-wind-power-programme-850mw"/>
    <x v="3"/>
    <x v="7"/>
    <x v="21"/>
    <m/>
    <m/>
    <m/>
    <m/>
    <x v="3"/>
    <s v="Onshore Wind"/>
    <s v="Financing"/>
    <n v="212.5"/>
    <n v="0.24184045552875"/>
    <n v="9.6736182211500008"/>
    <m/>
    <n v="212.5"/>
    <m/>
  </r>
  <r>
    <x v="11"/>
    <x v="35"/>
    <s v="Other Public Financer"/>
    <n v="763440000"/>
    <m/>
    <m/>
    <m/>
    <x v="283"/>
    <s v="https://ijglobal.com/data/transaction/36987/noor-midelt-csp-pv-complex-800mw"/>
    <x v="3"/>
    <x v="7"/>
    <x v="21"/>
    <m/>
    <m/>
    <m/>
    <m/>
    <x v="3"/>
    <s v="Photovoltaic Solar,Thermal Solar"/>
    <s v="Pre-financing"/>
    <n v="800"/>
    <n v="0.91045818552000002"/>
    <n v="36.418327420799997"/>
    <m/>
    <n v="800"/>
    <m/>
  </r>
  <r>
    <x v="11"/>
    <x v="35"/>
    <s v="Other Public Financer"/>
    <n v="191250000"/>
    <m/>
    <m/>
    <m/>
    <x v="284"/>
    <s v="https://ijglobal.com/data/transaction/33613/noor-pv-i-solar-trio-177mw-ppp"/>
    <x v="3"/>
    <x v="7"/>
    <x v="21"/>
    <m/>
    <m/>
    <m/>
    <m/>
    <x v="3"/>
    <s v="Photovoltaic Solar"/>
    <s v="Financing"/>
    <n v="177"/>
    <n v="0.2014388735463"/>
    <n v="8.0575549418520005"/>
    <m/>
    <n v="177"/>
    <m/>
  </r>
  <r>
    <x v="11"/>
    <x v="35"/>
    <s v="Other Public Financer"/>
    <n v="182000000"/>
    <m/>
    <m/>
    <m/>
    <x v="279"/>
    <s v="https://ijglobal.com/data/transaction/36031/west-nile-csp-plant-100mw"/>
    <x v="3"/>
    <x v="7"/>
    <x v="32"/>
    <m/>
    <m/>
    <m/>
    <m/>
    <x v="3"/>
    <s v="Thermal Solar"/>
    <s v="Pre-financing"/>
    <n v="14.285714285714286"/>
    <n v="1.6258181884285714E-2"/>
    <n v="0.65032727537142854"/>
    <m/>
    <n v="14.285714285714286"/>
    <m/>
  </r>
  <r>
    <x v="11"/>
    <x v="35"/>
    <s v="Other Public Financer"/>
    <n v="27000000"/>
    <m/>
    <m/>
    <m/>
    <x v="200"/>
    <s v="https://ijglobal.com/data/transaction/28414/harpo-hydro-power-plant-35mw"/>
    <x v="3"/>
    <x v="5"/>
    <x v="19"/>
    <m/>
    <m/>
    <m/>
    <m/>
    <x v="3"/>
    <s v="Small Hydro"/>
    <s v="Financing"/>
    <n v="9"/>
    <n v="1.0242654587099999E-2"/>
    <n v="0.40970618348399995"/>
    <m/>
    <n v="9"/>
    <m/>
  </r>
  <r>
    <x v="11"/>
    <x v="35"/>
    <s v="Other Public Financer"/>
    <n v="7390000"/>
    <s v="Surajbari Windfarm Development"/>
    <m/>
    <m/>
    <x v="285"/>
    <s v="https://ijglobal.com/data/transaction/31665/surajbari-wind-farms-project-170mw"/>
    <x v="3"/>
    <x v="5"/>
    <x v="50"/>
    <s v="Maharashtra"/>
    <m/>
    <m/>
    <m/>
    <x v="3"/>
    <s v="Photovoltaic Solar"/>
    <s v="Financing"/>
    <n v="25"/>
    <n v="2.8451818297500001E-2"/>
    <n v="1.1380727318999999"/>
    <m/>
    <n v="25"/>
    <m/>
  </r>
  <r>
    <x v="12"/>
    <x v="41"/>
    <s v="Export Credit &amp; Insurance"/>
    <n v="17750000"/>
    <s v="Gujarat NRE Coking Coal Ltd"/>
    <m/>
    <m/>
    <x v="286"/>
    <s v="https://ijglobal.com/data/transaction/28382/gujarat-nre-cokin-coal-mine-capex-facility-2013"/>
    <x v="113"/>
    <x v="2"/>
    <x v="3"/>
    <m/>
    <s v="Proceeds of $106.5m are part-financing the Gujarat NRE Cokin Coal Mine project in Wongawilli, NSW, Australia."/>
    <m/>
    <m/>
    <x v="2"/>
    <s v="Coal Mining - New"/>
    <s v="Financial Close"/>
    <m/>
    <n v="0"/>
    <n v="0"/>
    <m/>
    <m/>
    <m/>
  </r>
  <r>
    <x v="12"/>
    <x v="42"/>
    <s v="Majority State-Owned Banks"/>
    <n v="1000000000"/>
    <s v="Adani Enterprises"/>
    <m/>
    <m/>
    <x v="3"/>
    <s v="http://www.thehindu.com/business/Industry/adani-groups-australian-mine-project-cleared/article6608157.ece"/>
    <x v="3"/>
    <x v="2"/>
    <x v="3"/>
    <s v="Galilee Basin"/>
    <s v="The total value for the project is over $16,137,670,000 USD, but it is unclear whether that would be entirely provided by the State Bank of India. "/>
    <s v="https://ijglobal.com/data/transaction/30999/carmichael-coal-mine"/>
    <m/>
    <x v="2"/>
    <s v="Coal Mining - New"/>
    <s v="Financing"/>
    <n v="0"/>
    <n v="0"/>
    <n v="0"/>
    <m/>
    <m/>
    <m/>
  </r>
  <r>
    <x v="12"/>
    <x v="0"/>
    <s v="Multilateral"/>
    <n v="516099.43781308923"/>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12"/>
    <x v="41"/>
    <s v="Export Credit &amp; Insurance"/>
    <n v="87000000"/>
    <s v="Zimbabwe Power Compant"/>
    <m/>
    <m/>
    <x v="287"/>
    <s v="https://ijglobal.com/data/transaction/34998/bulawayo-thermal-power-plant-90mw-rehabilitation"/>
    <x v="114"/>
    <x v="0"/>
    <x v="26"/>
    <m/>
    <s v="The financing will be used to rehabilitate and upgrade Bulawayo Thermal Power Station in Zimbabwe. The plant initially had an installed capacity of 120MW, but after a refurbishment in 1999 the capacity was reduced to  90MW. The Zimbabwe Power Company (ZPC) will repower the plant and will improve the energy efficiency. The repowering works would add 60MW onto the grid, as the station is only producing around 30MW from its installed capacity."/>
    <m/>
    <m/>
    <x v="0"/>
    <s v="Coal Power Plant - Existing"/>
    <s v="Financial Close"/>
    <n v="80"/>
    <n v="9.1045818551999988E-2"/>
    <n v="3.6418327420799996"/>
    <m/>
    <m/>
    <m/>
  </r>
  <r>
    <x v="12"/>
    <x v="41"/>
    <s v="Export Credit &amp; Insurance"/>
    <n v="1600000000"/>
    <s v="Bangladesh India Friendship Power Company Ltd (BIFPCL): Power Development Board (PDB) &amp; India's National Thermal Power Corporation (NTPC) "/>
    <s v="BHEL"/>
    <s v="BHEL"/>
    <x v="288"/>
    <s v="http://www.observerbd.com/details.php?id=54610"/>
    <x v="115"/>
    <x v="5"/>
    <x v="27"/>
    <s v="Rampal"/>
    <s v="The $1.6 billion proceeds will be used for the construction and exploitation of the Maitree coal-fired power plant, located in Rampal Upazila of Bagerhat District, in Khulna, in south-western Bangladesh.  The plant will have two 660 MW coal-fired units, situated on an area of over 1834 acres of land. IJGlobal has not listed this project as having reached a financial close [6/26/2017]"/>
    <s v="https://ijglobal.com/data/transaction/35706/maitree-coal-fired-power-power-plant-1320mw"/>
    <s v="http://www.observerbd.com/details.php?id=36801"/>
    <x v="0"/>
    <s v="Coal Power - New"/>
    <s v="Financial Close"/>
    <n v="1320"/>
    <n v="1.5022560061080001"/>
    <n v="60.090240244320007"/>
    <m/>
    <m/>
    <m/>
  </r>
  <r>
    <x v="12"/>
    <x v="15"/>
    <s v="TBD"/>
    <m/>
    <s v="Tata Power"/>
    <s v="Tata Power"/>
    <m/>
    <x v="289"/>
    <s v="http://nangluongvietnam.vn/news/en/investment-activity/invest-activity/tata-power-scouts-for-vietnamese-partner-for-long-phu-2-thermal-power-project.html"/>
    <x v="3"/>
    <x v="6"/>
    <x v="24"/>
    <m/>
    <s v="could be all equity"/>
    <s v="https://www.tatapower.com/investor-relations/pdf/96Annual-Report-2014-15.pdf"/>
    <m/>
    <x v="0"/>
    <s v="Coal Power Plant - New"/>
    <s v="Financing"/>
    <m/>
    <n v="0"/>
    <n v="0"/>
    <m/>
    <m/>
    <m/>
  </r>
  <r>
    <x v="12"/>
    <x v="0"/>
    <s v="Multilateral"/>
    <n v="2903059.3376986268"/>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13"/>
    <x v="43"/>
    <s v="Export Credit &amp; Insurance"/>
    <n v="632000000"/>
    <s v="Not identified"/>
    <m/>
    <m/>
    <x v="290"/>
    <s v="http://www.sace.it/en/about-us/environmental-impact/single-environmental-news/environmental-and-social-impact-assessment-availability-for-the-punta-catalina-project"/>
    <x v="76"/>
    <x v="9"/>
    <x v="72"/>
    <m/>
    <s v="Coal-to-liquids_x000a_Annual emissions data provided by SACE"/>
    <s v="http://www.sace.it/docs/default-source/report-ambiente/op-2015_eng.pdf?sfvrsn=4"/>
    <m/>
    <x v="0"/>
    <s v="Coal Power Plant - New"/>
    <s v="Financial Close"/>
    <n v="752"/>
    <n v="0.85583069438880011"/>
    <n v="34.233227775552002"/>
    <m/>
    <m/>
    <m/>
  </r>
  <r>
    <x v="13"/>
    <x v="0"/>
    <s v="Multilateral"/>
    <n v="4846068.4576470628"/>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13"/>
    <x v="43"/>
    <s v="Export Credit &amp; Insurance"/>
    <n v="57800000"/>
    <s v="Coeclerici Group"/>
    <m/>
    <m/>
    <x v="291"/>
    <s v="http://www.sace.it/GruppoSACE/export/sites/default/download/comunicati/2013/20130129-CS_-Coeclerici_SACE_Indonesia_EN.pdf"/>
    <x v="116"/>
    <x v="6"/>
    <x v="20"/>
    <m/>
    <s v="In response to an inquiry from NRDC on the values staff at SACE pointed out that this loan is for &quot;shipping equipment&quot;. However, the investment documentation from SACE clearly states that this is a project for shipping coal so we have documented as a project to support coal mining - exports. This is a similar methodology as we have followed with other investments -- where the investment is directly supportive of a coal project even if the project doesn't explicitly cover a coal mine or coal power plant"/>
    <m/>
    <m/>
    <x v="1"/>
    <s v="Coal - Policy"/>
    <s v="Financial Close"/>
    <m/>
    <n v="0"/>
    <n v="0"/>
    <n v="18"/>
    <m/>
    <m/>
  </r>
  <r>
    <x v="13"/>
    <x v="3"/>
    <s v="Multilateral"/>
    <n v="18425663.35256977"/>
    <s v="EPS"/>
    <m/>
    <m/>
    <x v="7"/>
    <s v="http://www.ebrd.com/work-with-us/projects/psd/eps-restructuring.html"/>
    <x v="5"/>
    <x v="3"/>
    <x v="5"/>
    <m/>
    <s v="Financing for restructing of Serbian state-owned utility EPS, which is lignite-heavy and maintains plans for significant lignite expansion. _x000a__x000a_While not exclusively for coal, this investment is included because of EPS lignite expansion plans and lack of prior EBRD investments in EPS resulting in observable changes in supply mix or capacity addition plans."/>
    <s v="http://www.ebrd.com/news/2015/ebrd-supports-reform-of-serbias-power-sector-with-200-million-loan-to-eps.html_x000a_http://bankwatch.org/publications/issues-serbian-electricity-company-eps-need-be-addressed-within - New-ebrd-loan_x000a_http://bankwatch.org/bwmail/62/ebrd-digs-deeper-serbian-coal-king"/>
    <m/>
    <x v="1"/>
    <s v="Other"/>
    <s v="Financial Close"/>
    <m/>
    <n v="0"/>
    <n v="0"/>
    <m/>
    <m/>
    <m/>
  </r>
  <r>
    <x v="13"/>
    <x v="0"/>
    <s v="Multilateral"/>
    <n v="27259135.074264731"/>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14"/>
    <x v="44"/>
    <s v="Export Credit &amp; Insurance"/>
    <n v="24000000"/>
    <s v="Idemitsu Kosan Co., Ltd"/>
    <m/>
    <m/>
    <x v="292"/>
    <s v="http://www.jbic.go.jp/en/information/press/press-2016/1222-52286"/>
    <x v="117"/>
    <x v="6"/>
    <x v="20"/>
    <m/>
    <s v="The loan is intended to provide financing for Idemitsu Kosan to acquire 30% shares of the Malinau coal mines located in the North Kalimantan province in Indonesia."/>
    <m/>
    <m/>
    <x v="2"/>
    <s v="Coal Mining"/>
    <s v="Financial Close"/>
    <n v="0"/>
    <n v="0"/>
    <n v="0"/>
    <n v="4"/>
    <m/>
    <m/>
  </r>
  <r>
    <x v="14"/>
    <x v="44"/>
    <s v="Export Credit &amp; Insurance"/>
    <n v="85000000"/>
    <s v="PETROVIETNAM POWER CORP"/>
    <m/>
    <m/>
    <x v="29"/>
    <s v="http://www.jbic.go.jp/en/information/press/press-2013/0822-7553"/>
    <x v="118"/>
    <x v="6"/>
    <x v="24"/>
    <s v="Thai Binh"/>
    <m/>
    <s v="http://sekitan.jp/jbic/wp-content/uploads/2014/01/Lists-of-Approved-Coal-Investments-by-JBIC-April-2015.pdf_x000a_https://www.jetro.go.jp/world/asia/vn/petrovietnam/pdf/201109_II-1.pdf"/>
    <m/>
    <x v="0"/>
    <s v="Coal Power Plant - New"/>
    <s v="Financial Close"/>
    <n v="600"/>
    <n v="0.68284363914000001"/>
    <n v="27.313745565600001"/>
    <m/>
    <m/>
    <m/>
  </r>
  <r>
    <x v="14"/>
    <x v="45"/>
    <s v="Export Credit &amp; Insurance"/>
    <n v="56000000"/>
    <s v="PETROVIETNAM POWER CORP"/>
    <s v="DAE/PVC"/>
    <s v="TOSHIBA"/>
    <x v="29"/>
    <s v="http://www.jbic.go.jp/en/information/press/press-2013/0822-7553"/>
    <x v="118"/>
    <x v="6"/>
    <x v="24"/>
    <s v="Thai Binh"/>
    <m/>
    <m/>
    <m/>
    <x v="0"/>
    <s v="Coal Power Plant - New"/>
    <s v="Financial Close"/>
    <n v="600"/>
    <n v="0.68284363914000001"/>
    <n v="27.313745565600001"/>
    <m/>
    <m/>
    <m/>
  </r>
  <r>
    <x v="14"/>
    <x v="46"/>
    <s v="Other Public Financer"/>
    <n v="42010000"/>
    <s v="Government of Mongolia"/>
    <m/>
    <m/>
    <x v="293"/>
    <s v="http://www.exim.gov/newsandevents/boardmeetings/board/boardmeeting-agenda.cfm?pageID=37064"/>
    <x v="119"/>
    <x v="8"/>
    <x v="38"/>
    <m/>
    <s v="(iii) Tender announcement of initial procurement package for international competitive bidding on project construction:_x000a_Procurement package titles: Installation of Turbine Governor and Distributed Control System, Installation of Boiler Soot Blower and Mill Roller of Pulverized Coal Firing Equipment"/>
    <m/>
    <m/>
    <x v="0"/>
    <s v="Coal Power Plant - Existing"/>
    <s v="Financial Close"/>
    <n v="540"/>
    <n v="0.61455927522599996"/>
    <n v="24.582371009039999"/>
    <m/>
    <m/>
    <m/>
  </r>
  <r>
    <x v="14"/>
    <x v="44"/>
    <s v="Export Credit &amp; Insurance"/>
    <n v="210000000"/>
    <s v="NTPC LTD"/>
    <m/>
    <s v="TOSH-JSW"/>
    <x v="294"/>
    <s v="http://www.jbic.go.jp/en/information/press/press-2013/0127-17508"/>
    <x v="120"/>
    <x v="5"/>
    <x v="50"/>
    <s v="Karnataka"/>
    <m/>
    <s v="http://sekitan.jp/jbic/wp-content/uploads/2014/01/Lists-of-Approved-Coal-Investments-by-JBIC-April-2015.pdf"/>
    <m/>
    <x v="0"/>
    <s v="Coal Power Plant - New"/>
    <s v="Financial Close"/>
    <n v="800"/>
    <n v="0.91045818552000002"/>
    <n v="36.418327420799997"/>
    <m/>
    <m/>
    <m/>
  </r>
  <r>
    <x v="14"/>
    <x v="45"/>
    <s v="Export Credit &amp; Insurance"/>
    <n v="140000000"/>
    <s v="NTPC LTD"/>
    <s v="Sumitomo Mitsui Banking Corporation"/>
    <s v="TOSH-JSW"/>
    <x v="294"/>
    <s v="http://www.jbic.go.jp/en/information/press/press-2013/0127-17508"/>
    <x v="120"/>
    <x v="5"/>
    <x v="50"/>
    <s v="Karnataka"/>
    <m/>
    <m/>
    <m/>
    <x v="0"/>
    <s v="Coal Power Plant - New"/>
    <s v="Financial Close"/>
    <n v="800"/>
    <n v="0.91045818552000002"/>
    <n v="36.418327420799997"/>
    <m/>
    <m/>
    <m/>
  </r>
  <r>
    <x v="14"/>
    <x v="44"/>
    <s v="Export Credit &amp; Insurance"/>
    <n v="202000000"/>
    <s v="Vietnam Electricity (EVN)"/>
    <m/>
    <s v="Doosan, Toshiba"/>
    <x v="295"/>
    <s v="http://www.jbic.go.jp/en/information/press/press-2014/0717-25305"/>
    <x v="121"/>
    <x v="6"/>
    <x v="24"/>
    <s v="Binh Thuan"/>
    <m/>
    <s v="http://sekitan.jp/jbic/wp-content/uploads/2014/01/Lists-of-Approved-Coal-Investments-by-JBIC-April-2015.pdf_x000a_http://www.sourcewatch.org/index.php/Vinh_Tan_power_station"/>
    <m/>
    <x v="0"/>
    <s v="Coal Power Plant - New"/>
    <s v="Financial Close"/>
    <n v="600"/>
    <n v="0.68284363914000001"/>
    <n v="27.313745565600001"/>
    <m/>
    <m/>
    <m/>
  </r>
  <r>
    <x v="14"/>
    <x v="45"/>
    <s v="Export Credit &amp; Insurance"/>
    <n v="135000000"/>
    <s v="The Bank of Tokyo-Mitsubishi UFJ, Ltd"/>
    <s v="DOOS/PAC"/>
    <s v="TOSHIBA"/>
    <x v="295"/>
    <s v="http://www.jbic.go.jp/en/information/press/press-2014/0717-25305"/>
    <x v="121"/>
    <x v="6"/>
    <x v="24"/>
    <s v="Binh Thuan"/>
    <m/>
    <m/>
    <m/>
    <x v="0"/>
    <s v="Coal Power Plant - New"/>
    <s v="Financial Close"/>
    <n v="600"/>
    <n v="0.68284363914000001"/>
    <n v="27.313745565600001"/>
    <m/>
    <m/>
    <m/>
  </r>
  <r>
    <x v="14"/>
    <x v="44"/>
    <s v="Export Credit &amp; Insurance"/>
    <n v="89063400"/>
    <s v="State Bank of India"/>
    <m/>
    <m/>
    <x v="296"/>
    <s v="https://www.jbic.go.jp/en/information/press/press-2014/0902-28881"/>
    <x v="122"/>
    <x v="5"/>
    <x v="50"/>
    <m/>
    <m/>
    <s v="http://www.sourcewatch.org/index.php/Meja_Thermal_Power_Project#cite_note-ip-4_x000a_http://sekitan.jp/jbic/wp-content/uploads/2014/01/Lists-of-Approved-Coal-Investments-by-JBIC-April-2015.pdf"/>
    <m/>
    <x v="0"/>
    <s v="Coal Power Plant - New"/>
    <s v="Financial Close"/>
    <n v="660"/>
    <n v="0.75112800305400007"/>
    <n v="30.045120122160004"/>
    <m/>
    <m/>
    <m/>
  </r>
  <r>
    <x v="14"/>
    <x v="45"/>
    <s v="Export Credit &amp; Insurance"/>
    <n v="851375600"/>
    <s v="The Bank of Tokyo-Mitsubishi UFJ, Ltd"/>
    <m/>
    <m/>
    <x v="297"/>
    <s v="http://nexi.go.jp/topics/newsrelease/005256.html"/>
    <x v="122"/>
    <x v="5"/>
    <x v="50"/>
    <m/>
    <m/>
    <s v="http://sekitan.jp/jbic/wp-content/uploads/2015/02/jbiccoallisten.pdf"/>
    <m/>
    <x v="0"/>
    <s v="Coal Power Plant - New"/>
    <s v="Financial Close"/>
    <n v="660"/>
    <n v="0.75112800305400007"/>
    <n v="30.045120122160004"/>
    <m/>
    <m/>
    <m/>
  </r>
  <r>
    <x v="14"/>
    <x v="44"/>
    <s v="Export Credit &amp; Insurance"/>
    <n v="906675800"/>
    <s v="Safi Energy Company S.A. AND Nareva Holding S.A. (Nareva)"/>
    <m/>
    <m/>
    <x v="298"/>
    <s v="https://www.jbic.go.jp/en/information/press/press-2014/0919-29158"/>
    <x v="123"/>
    <x v="7"/>
    <x v="21"/>
    <m/>
    <s v="http://www.sourcewatch.org/index.php/Safi_power_station Loan agreements, in project financing, totaling up to approximately USD718 million and EUR147 million (JBIC portions) - Ultra Super Critical Coal-fired Power Plant"/>
    <s v="http://sekitan.jp/jbic/wp-content/uploads/2014/01/Lists-of-Approved-Coal-Investments-by-JBIC-April-2015.pdf"/>
    <m/>
    <x v="0"/>
    <s v="Coal Power Plant - New"/>
    <s v="Financial Close"/>
    <n v="693"/>
    <n v="0.78868440320669986"/>
    <n v="31.547376128267995"/>
    <m/>
    <m/>
    <m/>
  </r>
  <r>
    <x v="14"/>
    <x v="45"/>
    <s v="Export Credit &amp; Insurance"/>
    <n v="483630308.00000006"/>
    <s v="The Bank of Tokyo-Mitsubishi UFJ, Ltd., Sumitomo Mitsui Banking Corporation, The Mizuho Bank Ltd., Sumitomo Mitsui Trust Bank, Limited, and Islamic Development Bank"/>
    <m/>
    <m/>
    <x v="299"/>
    <s v="http://nexi.go.jp/topics/newsrelease/005476.html"/>
    <x v="124"/>
    <x v="7"/>
    <x v="21"/>
    <m/>
    <m/>
    <m/>
    <m/>
    <x v="0"/>
    <s v="Coal Power Plant - New"/>
    <s v="Financial Close"/>
    <n v="693"/>
    <n v="0.78868440320669986"/>
    <n v="31.547376128267995"/>
    <m/>
    <m/>
    <m/>
  </r>
  <r>
    <x v="14"/>
    <x v="46"/>
    <s v="Other Public Financer"/>
    <n v="307397175.64959997"/>
    <s v="ELECTRICITY OF VIETNAM (EVN)"/>
    <s v="MARUBENI"/>
    <s v="FUJI"/>
    <x v="300"/>
    <s v="http://www.jica.go.jp/english/news/press/2014/150130_01.html"/>
    <x v="125"/>
    <x v="6"/>
    <x v="24"/>
    <s v="Thai Binh"/>
    <m/>
    <m/>
    <m/>
    <x v="0"/>
    <s v="Coal Power Plant - New"/>
    <s v="Financial Close"/>
    <n v="600"/>
    <n v="0.68284363914000001"/>
    <n v="27.313745565600001"/>
    <m/>
    <m/>
    <m/>
  </r>
  <r>
    <x v="14"/>
    <x v="44"/>
    <s v="Export Credit &amp; Insurance"/>
    <n v="409910000"/>
    <s v="Vietnam Electricity (EVN)"/>
    <m/>
    <m/>
    <x v="301"/>
    <s v="http://www.jbic.go.jp/en/information/press/press-2014/0331-37582"/>
    <x v="32"/>
    <x v="6"/>
    <x v="24"/>
    <m/>
    <s v="The loan is intended to finance EVN's purchase of a whole set of machineries and equipment including steam turbines and generators (manufactured by TOSHIBA CORPORATION) by engineering, procurement and construction (&quot;EPC&quot;) basis from SUMITOMO CORPORATION for a super critical coal-fired power plant (688 MW x 1 unit) to be built in the Duyen Hai district, Tra Vinh Province, in the southern part of Vietnam._x000a_"/>
    <s v="http://sekitan.jp/jbic/wp-content/uploads/2014/01/Lists-of-Approved-Coal-Investments-by-JBIC-April-2015.pdf"/>
    <m/>
    <x v="0"/>
    <s v="Coal Power Plant - Expansion"/>
    <s v="Financial Close"/>
    <n v="344"/>
    <n v="0.39149701977360002"/>
    <n v="15.659880790944001"/>
    <m/>
    <m/>
    <m/>
  </r>
  <r>
    <x v="14"/>
    <x v="45"/>
    <s v="Export Credit &amp; Insurance"/>
    <n v="274000000"/>
    <s v="Vietnam Electricity (EVN)"/>
    <m/>
    <m/>
    <x v="301"/>
    <s v="http://www.jbic.go.jp/en/information/press/press-2014/0331-37582"/>
    <x v="32"/>
    <x v="6"/>
    <x v="24"/>
    <m/>
    <s v="USD 274 million (project description indicates NEXI cover applies to only portion financed by private institutions, so given total financed amount of $683 million, minus JBIC portion of $409 million, NEXI coverage would be for $274 million)"/>
    <s v="http://www.jbic.go.jp/en/information/press/press-2014/0331-37582JAECES Data"/>
    <m/>
    <x v="0"/>
    <s v="Coal Power Plant - Expansion"/>
    <s v="Financial Close"/>
    <n v="344"/>
    <n v="0.39149701977360002"/>
    <n v="15.659880790944001"/>
    <m/>
    <m/>
    <m/>
  </r>
  <r>
    <x v="14"/>
    <x v="46"/>
    <s v="Other Public Financer"/>
    <n v="78412530"/>
    <s v="Government of Vietnam"/>
    <m/>
    <m/>
    <x v="302"/>
    <s v="http://www.jica.go.jp/english/news/press/2015/150706_01.html"/>
    <x v="126"/>
    <x v="6"/>
    <x v="24"/>
    <s v="Thai Binh"/>
    <m/>
    <s v="http://www.jica.go.jp/english/news/press/2015/150706_01.html"/>
    <m/>
    <x v="0"/>
    <s v="Coal Power Plant - New"/>
    <s v="Financial Close"/>
    <m/>
    <n v="0"/>
    <n v="0"/>
    <m/>
    <m/>
    <m/>
  </r>
  <r>
    <x v="14"/>
    <x v="44"/>
    <s v="Export Credit &amp; Insurance"/>
    <n v="0"/>
    <s v="Mitsui Co, Chubu EP, Toshiba"/>
    <m/>
    <m/>
    <x v="303"/>
    <s v="https://www.tnb.com.my/announcements/tnb-acquires70-stake-in-jimah-east-power-sdn.-bhd-for-rm46.98-million"/>
    <x v="127"/>
    <x v="6"/>
    <x v="73"/>
    <m/>
    <s v="Not financed by JBIC. Bonds from private banks."/>
    <m/>
    <m/>
    <x v="0"/>
    <s v="Coal Power Plant - New"/>
    <s v="Financial Close"/>
    <n v="2000"/>
    <n v="2.2761454638000003"/>
    <n v="91.045818552000014"/>
    <m/>
    <m/>
    <m/>
  </r>
  <r>
    <x v="14"/>
    <x v="44"/>
    <s v="Export Credit &amp; Insurance"/>
    <n v="189300000"/>
    <s v=" _x000a_PT PLN (Persero)"/>
    <m/>
    <s v="TOSHIBA"/>
    <x v="304"/>
    <s v="https://ijglobal.com/articles/99817/jbic-grants-direct-loan-to-indonesias-pln _x000a__x000a_http://www.jbic.go.jp/en/information/press/press-2015/0316-47130 "/>
    <x v="128"/>
    <x v="6"/>
    <x v="20"/>
    <s v="Banten"/>
    <m/>
    <s v="http://www.sumitomocorp.co.jp/news/detail/id=28906"/>
    <m/>
    <x v="0"/>
    <s v="Coal Power Plant - Expansion"/>
    <s v="Financial Close"/>
    <n v="157.5"/>
    <n v="0.17924645527425001"/>
    <n v="7.1698582109700002"/>
    <m/>
    <m/>
    <m/>
  </r>
  <r>
    <x v="14"/>
    <x v="45"/>
    <s v="Export Credit &amp; Insurance"/>
    <n v="127000000"/>
    <s v=" _x000a_PT PLN (Persero)"/>
    <m/>
    <s v="TOSHIBA"/>
    <x v="304"/>
    <s v="http://www.nexi.go.jp/en/topics/newsrelease/2016030802.html"/>
    <x v="129"/>
    <x v="6"/>
    <x v="20"/>
    <s v="Banten"/>
    <s v="Approved in 2016 - included as &quot;pending&quot; project for tabulation purposes since we do not have a space for 2016 projects."/>
    <s v="http://www.sumitomocorp.co.jp/news/detail/id=28906"/>
    <m/>
    <x v="0"/>
    <s v="Coal Power Plant - Expansion"/>
    <s v="Financial Close"/>
    <n v="157.5"/>
    <n v="0.17924645527425001"/>
    <n v="7.1698582109700002"/>
    <m/>
    <m/>
    <m/>
  </r>
  <r>
    <x v="14"/>
    <x v="44"/>
    <s v="Export Credit &amp; Insurance"/>
    <n v="3421000000"/>
    <s v="PT Bhimasena Power Indonesia (BPI) - a joint venture by PT Adaro Energy Tbk and Itochu Corp and Electric Power Development Co (J-Power)"/>
    <m/>
    <m/>
    <x v="305"/>
    <s v="http://www.jbic.go.jp/en/information/press/press-2016/0603-48595"/>
    <x v="130"/>
    <x v="6"/>
    <x v="20"/>
    <m/>
    <s v="loan and guarantee"/>
    <s v="https://ijglobal.com/articles/100054/central-java-financial-close-slips-again"/>
    <s v="http://af.reuters.com/article/energyOilNews/idAFL4N18Y264_x000a_http://www.itochu.co.jp/ja/news/2011/111007.html"/>
    <x v="0"/>
    <s v="Coal Power Plant - New"/>
    <s v="Financial Close"/>
    <n v="2000"/>
    <n v="2.2761454638000003"/>
    <n v="91.045818552000014"/>
    <m/>
    <m/>
    <m/>
  </r>
  <r>
    <x v="14"/>
    <x v="44"/>
    <s v="Export Credit &amp; Insurance"/>
    <n v="1678000000"/>
    <s v="PT. Bhumi Jati Power (BJP)"/>
    <s v="SUMITOMO CORPORATION and The Kansai Electric Power Company"/>
    <m/>
    <x v="306"/>
    <s v="https://ijglobal.com/data/transaction/34100/2000mw-tanjung-jati-b-coal-fired-power-plant-units-5-and-6"/>
    <x v="131"/>
    <x v="6"/>
    <x v="20"/>
    <m/>
    <s v="JBIC and NEXI "/>
    <m/>
    <s v="http://www.jbic.go.jp/en/efforts/environment/projects/48649"/>
    <x v="0"/>
    <s v="Coal Power Plant - Expansion"/>
    <s v="Financial Close"/>
    <n v="1000"/>
    <n v="1.1380727319000001"/>
    <n v="45.522909276000007"/>
    <m/>
    <m/>
    <m/>
  </r>
  <r>
    <x v="14"/>
    <x v="45"/>
    <s v="Export Credit &amp; Insurance"/>
    <n v="1678000000"/>
    <s v="PT. Bhumi Jati Power (BJP)"/>
    <s v="SUMITOMO CORPORATION and The Kansai Electric Power Company"/>
    <m/>
    <x v="306"/>
    <s v="http://www.4-traders.com/news/Project-Finance-for-Re-expansion-of-Tanjung-Jati-B-Coal-Fired-Power-Plant-in-Indonesia-Supporting--23945472/"/>
    <x v="131"/>
    <x v="6"/>
    <x v="20"/>
    <m/>
    <s v="JBIC and NEXI "/>
    <m/>
    <s v="http://www.nexi.go.jp/en/environment/a/2016061404.html"/>
    <x v="0"/>
    <s v="Coal Power Plant - Expansion"/>
    <s v="Financial Close"/>
    <n v="1000"/>
    <n v="1.1380727319000001"/>
    <n v="45.522909276000007"/>
    <m/>
    <m/>
    <m/>
  </r>
  <r>
    <x v="14"/>
    <x v="44"/>
    <s v="Export Credit &amp; Insurance"/>
    <n v="200000000"/>
    <s v="Marubeni, Posco"/>
    <m/>
    <m/>
    <x v="307"/>
    <s v="https://ijglobal.com/data/transaction/33236/morupule-coal-fired-plant-300mw-ppp"/>
    <x v="3"/>
    <x v="0"/>
    <x v="74"/>
    <s v="Palapye, Central"/>
    <s v="IJGlobal article indicates prospective JBIC and NEXI participation._x000a_$800m total project cost; Morupule B Phase II Units 5 &amp; 6; subcritical"/>
    <s v="http://english.hankyung.com/business/2016/12/08/1043251/posco-energy-signs-800-mil-deal-to-build-coalfueled-power-plant-in-botswana_x000a_http://www.sundaystandard.info/botswana-fresh-multi-billion-power-project-blunder"/>
    <m/>
    <x v="0"/>
    <s v="Coal Power Plant - New"/>
    <s v="Financing"/>
    <n v="100"/>
    <n v="0.11380727319"/>
    <n v="4.5522909275999996"/>
    <m/>
    <m/>
    <m/>
  </r>
  <r>
    <x v="14"/>
    <x v="45"/>
    <s v="Export Credit &amp; Insurance"/>
    <n v="200000000"/>
    <s v="Marubeni, Posco"/>
    <m/>
    <m/>
    <x v="307"/>
    <s v="https://ijglobal.com/data/transaction/33236/morupule-coal-fired-plant-300mw-ppp"/>
    <x v="3"/>
    <x v="0"/>
    <x v="74"/>
    <s v="Palapye, Central"/>
    <s v="IJGlobal article indicates prospective JBIC and NEXI participation._x000a_$800m total project cost; Morupule B Phase II Units 5 &amp; 6; subcritical"/>
    <s v="http://english.hankyung.com/business/2016/12/08/1043251/posco-energy-signs-800-mil-deal-to-build-coalfueled-power-plant-in-botswana_x000a_http://www.sundaystandard.info/botswana-fresh-multi-billion-power-project-blunder"/>
    <m/>
    <x v="0"/>
    <s v="Coal Power Plant - New"/>
    <s v="Financing"/>
    <n v="100"/>
    <n v="0.11380727319"/>
    <n v="4.5522909275999996"/>
    <m/>
    <m/>
    <m/>
  </r>
  <r>
    <x v="14"/>
    <x v="47"/>
    <s v="TBD"/>
    <m/>
    <s v="Egyptian Electric Holding Co. Marubeni-Swedish Alliance"/>
    <s v="Marubeni and Elsewedy Electric"/>
    <m/>
    <x v="308"/>
    <s v="http://www.dailynewsegypt.com/2017/01/25/electricity-ministry-contracts-tractebel-assess-offers-10bn-coal-fueled-power-plant/"/>
    <x v="3"/>
    <x v="7"/>
    <x v="32"/>
    <m/>
    <s v="The Ministry of Electricity has signed a memorandum of understanding with the Marubeni-Elsewedy Electric alliance to set up a 4,000 MW coal-fired power plant west of Matrouh. coal-fired power plant over two phases, with a capacity of 2,000 MW for each."/>
    <s v="https://issuu.com/newsbase/docs/energy_finance_week_issue_06/10"/>
    <m/>
    <x v="0"/>
    <s v="Coal Power Plant - New"/>
    <s v="Financing"/>
    <n v="4000"/>
    <n v="4.5522909276000005"/>
    <n v="182.09163710400003"/>
    <m/>
    <m/>
    <m/>
  </r>
  <r>
    <x v="14"/>
    <x v="15"/>
    <s v="TBD"/>
    <m/>
    <m/>
    <s v="Mitsubishi-Hitachi Alliance"/>
    <m/>
    <x v="309"/>
    <s v="http://www.dailynewsegypt.com/2017/01/25/electricity-ministry-contracts-tractebel-assess-offers-10bn-coal-fueled-power-plant/"/>
    <x v="3"/>
    <x v="7"/>
    <x v="32"/>
    <s v="Matrouh province"/>
    <s v="offered to establish another power plant using the same technology spanning two phases to produce 4,000 MW."/>
    <s v="http://www.4-traders.com/SHANGHAI-ELECTRIC-GROUP-C-6500348/news/Electricity-Ministry-compares-between-6-companies-to-build-10bn-coal-fired-power-plant-23274063/"/>
    <m/>
    <x v="0"/>
    <s v="Coal Power Plant - New"/>
    <s v="Financing"/>
    <n v="4000"/>
    <n v="4.5522909276000005"/>
    <n v="182.09163710400003"/>
    <m/>
    <m/>
    <m/>
  </r>
  <r>
    <x v="14"/>
    <x v="15"/>
    <s v="TBD"/>
    <m/>
    <m/>
    <s v="Sumitomo Electric Industries"/>
    <m/>
    <x v="310"/>
    <s v="http://www.dailynewsegypt.com/2017/01/25/electricity-ministry-contracts-tractebel-assess-offers-10bn-coal-fueled-power-plant/"/>
    <x v="3"/>
    <x v="7"/>
    <x v="32"/>
    <s v="Sidi Shabib in Marsa Matruh"/>
    <s v="Sumitomo has presented an offer to establish a 2,000 MW coal-fired power plant "/>
    <s v="http://www.4-traders.com/SHANGHAI-ELECTRIC-GROUP-C-6500348/news/Electricity-Ministry-compares-between-6-companies-to-build-10bn-coal-fired-power-plant-23274063/"/>
    <m/>
    <x v="0"/>
    <s v="Coal Power Plant - New"/>
    <s v="Financing"/>
    <n v="2000"/>
    <n v="2.2761454638000003"/>
    <n v="91.045818552000014"/>
    <m/>
    <m/>
    <m/>
  </r>
  <r>
    <x v="14"/>
    <x v="46"/>
    <s v="Other Public Financer"/>
    <n v="0"/>
    <m/>
    <m/>
    <m/>
    <x v="311"/>
    <s v="http://www.sourcewatch.org/index.php/Barauni_Thermal_Power_Station"/>
    <x v="3"/>
    <x v="5"/>
    <x v="50"/>
    <m/>
    <s v="Not Funding"/>
    <m/>
    <m/>
    <x v="0"/>
    <s v="Coal Power Plant - Expansion"/>
    <s v="Deferred"/>
    <n v="660"/>
    <n v="0.75112800305400007"/>
    <n v="30.045120122160004"/>
    <m/>
    <m/>
    <m/>
  </r>
  <r>
    <x v="14"/>
    <x v="44"/>
    <s v="Export Credit &amp; Insurance"/>
    <n v="0"/>
    <s v="Toshiba"/>
    <m/>
    <m/>
    <x v="312"/>
    <s v="http://endcorporateabuse.org/jbic-suspends-two-coal-based-power-projects-in-india/"/>
    <x v="3"/>
    <x v="5"/>
    <x v="50"/>
    <m/>
    <s v="Not Funding"/>
    <s v="https://www.jbic.go.jp/wp-content/uploads/projects/2015/08/40499/12.pdf"/>
    <m/>
    <x v="0"/>
    <s v="Coal Power Plant - New"/>
    <s v="Deferred"/>
    <n v="800"/>
    <n v="0.91045818552000002"/>
    <n v="36.418327420799997"/>
    <m/>
    <m/>
    <m/>
  </r>
  <r>
    <x v="14"/>
    <x v="45"/>
    <s v="Export Credit &amp; Insurance"/>
    <n v="0"/>
    <s v="Toshiba"/>
    <m/>
    <m/>
    <x v="312"/>
    <s v="http://endcorporateabuse.org/jbic-suspends-two-coal-based-power-projects-in-india/"/>
    <x v="3"/>
    <x v="5"/>
    <x v="50"/>
    <m/>
    <s v="Ref No. is 14-083.  "/>
    <m/>
    <m/>
    <x v="0"/>
    <s v="Coal Power Plant"/>
    <s v="Deferred"/>
    <n v="800"/>
    <n v="0.91045818552000002"/>
    <n v="36.418327420799997"/>
    <m/>
    <m/>
    <m/>
  </r>
  <r>
    <x v="14"/>
    <x v="44"/>
    <s v="Export Credit &amp; Insurance"/>
    <n v="0"/>
    <s v="MHPS"/>
    <m/>
    <m/>
    <x v="313"/>
    <s v="http://endcorporateabuse.org/jbic-suspends-two-coal-based-power-projects-in-india/"/>
    <x v="3"/>
    <x v="5"/>
    <x v="50"/>
    <m/>
    <s v="Not funding"/>
    <s v="http://www.mhps.com/news/20150304.html"/>
    <m/>
    <x v="0"/>
    <s v="Coal Power Plant - Expansion"/>
    <s v="Deferred"/>
    <n v="1320"/>
    <n v="1.5022560061080001"/>
    <n v="60.090240244320007"/>
    <m/>
    <m/>
    <m/>
  </r>
  <r>
    <x v="14"/>
    <x v="45"/>
    <s v="Export Credit &amp; Insurance"/>
    <n v="0"/>
    <m/>
    <m/>
    <m/>
    <x v="313"/>
    <m/>
    <x v="3"/>
    <x v="5"/>
    <x v="50"/>
    <m/>
    <s v="Ref No. is 14-084. "/>
    <s v="http://www.nexi.go.jp/en/environment/information/index.html"/>
    <m/>
    <x v="0"/>
    <s v="Coal Power Plant"/>
    <s v="Financing"/>
    <n v="1320"/>
    <n v="1.5022560061080001"/>
    <n v="60.090240244320007"/>
    <m/>
    <m/>
    <m/>
  </r>
  <r>
    <x v="14"/>
    <x v="46"/>
    <s v="Other Public Financer"/>
    <n v="0"/>
    <m/>
    <m/>
    <m/>
    <x v="314"/>
    <m/>
    <x v="3"/>
    <x v="6"/>
    <x v="20"/>
    <m/>
    <m/>
    <m/>
    <m/>
    <x v="0"/>
    <s v="Coal Power Plant"/>
    <s v="Financing"/>
    <n v="1000"/>
    <n v="1.1380727319000001"/>
    <n v="45.522909276000007"/>
    <m/>
    <m/>
    <m/>
  </r>
  <r>
    <x v="14"/>
    <x v="44"/>
    <s v="Export Credit &amp; Insurance"/>
    <m/>
    <s v="GDF Suez, Sojitz, POSCO and Newcom"/>
    <m/>
    <m/>
    <x v="315"/>
    <s v="https://www.adb.org/projects/46915-014/main#project-pds"/>
    <x v="3"/>
    <x v="8"/>
    <x v="38"/>
    <m/>
    <s v="The financing will be used for the construction of the CHP5 coal fired combined heat and power plant in Mongolia's capital, Ulaanbaatar. GDF Suez (30%), Sojitz(30%), POSCO(30%) and Newcom(10%) are the sponsors of the project.  The Central Region Electricity Transmission Company will be the offtaker for the power under a 25-year PPA, while the Central Region Electricity Transmission Company will purchase the heat. The total cost of the project is estimated at $1.2billion The operations are expected to begin in 2017._x000a__x000a_Only the financers are known at this point. The specific amounts are unknown. "/>
    <s v="https://ijglobal.com/data/transaction/31251/ulaanbaatar-chp5-power-plant"/>
    <m/>
    <x v="0"/>
    <s v="Coal Power Plant - New"/>
    <s v="Financing"/>
    <n v="115.875"/>
    <n v="0.1318741778089125"/>
    <n v="5.2749671123565003"/>
    <m/>
    <m/>
    <m/>
  </r>
  <r>
    <x v="14"/>
    <x v="45"/>
    <s v="Export Credit &amp; Insurance"/>
    <m/>
    <m/>
    <m/>
    <m/>
    <x v="315"/>
    <s v="https://www.adb.org/projects/46915-014/main#project-pds"/>
    <x v="3"/>
    <x v="8"/>
    <x v="38"/>
    <m/>
    <s v="Ref No. is 14-082. "/>
    <s v="https://ijglobal.com/data/transaction/31251/ulaanbaatar-chp5-power-plant"/>
    <m/>
    <x v="0"/>
    <s v="Coal Power Plant"/>
    <s v="Financing"/>
    <n v="115.875"/>
    <n v="0.1318741778089125"/>
    <n v="5.2749671123565003"/>
    <m/>
    <m/>
    <m/>
  </r>
  <r>
    <x v="14"/>
    <x v="46"/>
    <s v="Export Credit &amp; Insurance"/>
    <n v="94350000"/>
    <s v="Coal Power Generation Company"/>
    <s v="japanese bidders"/>
    <m/>
    <x v="316"/>
    <s v="https://ijglobal.com/articles/107078/jica-approves-six-bangladesh-loans-outlines-tender-schedule"/>
    <x v="3"/>
    <x v="5"/>
    <x v="27"/>
    <s v="Matabari"/>
    <s v="For the implementation of this project, CPGCBL will borrow $3.7 billion from the Japan International Cooperation Agency (JICA), at an annual interest rate of 0.1 percent over 30 years, with a 10-year moratorium period."/>
    <s v="http://www.sourcewatch.org/index.php/Matarbari_power_station"/>
    <s v="https://www.jica.go.jp/english/our_work/social_environmental/id/asia/south/bangladesh/c8h0vm000090ry4d.html_x000a_https://energybangla.com/japanese-marubeni-sumitomo-at-last-reverted-to-matarbari/"/>
    <x v="0"/>
    <s v="Coal Power Plant - New"/>
    <s v="Financing"/>
    <n v="1200"/>
    <n v="1.36568727828"/>
    <n v="54.627491131200003"/>
    <m/>
    <m/>
    <m/>
  </r>
  <r>
    <x v="14"/>
    <x v="46"/>
    <s v="Other Public Financer"/>
    <m/>
    <m/>
    <m/>
    <m/>
    <x v="317"/>
    <m/>
    <x v="3"/>
    <x v="6"/>
    <x v="24"/>
    <m/>
    <s v="USC"/>
    <m/>
    <m/>
    <x v="0"/>
    <s v="Coal Power Plant"/>
    <s v="Deferred"/>
    <n v="1200"/>
    <n v="1.36568727828"/>
    <n v="54.627491131200003"/>
    <m/>
    <m/>
    <m/>
  </r>
  <r>
    <x v="14"/>
    <x v="44"/>
    <s v="Export Credit &amp; Insurance"/>
    <n v="862500000"/>
    <s v="Marubeni, KEPCO"/>
    <m/>
    <m/>
    <x v="318"/>
    <s v="https://ijglobal.com/data/transaction/28855/nghi-son-2-coal-fired-power-plant-1200mw"/>
    <x v="3"/>
    <x v="6"/>
    <x v="24"/>
    <m/>
    <s v="JICA has already supported this project; JBIC expected to provide $862.5 million according to IJGlobal. PPA set to be signed by the end of June 2017, according to IJGlobal. https://www.vietnambreakingnews.com/2017/07/two-new-thermal-power-plants-licensed-4/"/>
    <s v="https://ijglobal.com/data/transaction/28855/nghi-son-2-coal-fired-power-plant-1200mw"/>
    <s v="https://ijglobal.com/articles/105890/nghi-son-2-vietnam-coal-fired-set-to-sign-ppa"/>
    <x v="0"/>
    <s v="Coal Power Plant - New"/>
    <s v="Financing"/>
    <n v="600"/>
    <n v="0.68284363914000001"/>
    <n v="27.313745565600001"/>
    <m/>
    <m/>
    <m/>
  </r>
  <r>
    <x v="14"/>
    <x v="44"/>
    <s v="Export Credit &amp; Insurance"/>
    <n v="202900000"/>
    <s v="Vietnam Electricity Group (EVN)"/>
    <s v="Mitsubishi Corporation (MC), together with Doosan Heavy Industries &amp; Construction of Korea (Doosan) and Vietnamese partners, Power Engineering Consulting Joint Stock Company 2 and Pacific Corporation"/>
    <m/>
    <x v="319"/>
    <s v="http://www.mitsubishicorp.com/jp/en/pr/archive/2016/html/0000029773.html"/>
    <x v="3"/>
    <x v="6"/>
    <x v="24"/>
    <s v="Binh Thuan province"/>
    <s v="may be 100% equity"/>
    <s v="https://ijglobal.com/data/transaction/31707/vinh-tan-4-coal-fired-thermal-power-plant-1200mw"/>
    <s v="http://www.jbic.go.jp/en/efforts/environment/projects/48375 "/>
    <x v="0"/>
    <s v="Coal Power Plant - New"/>
    <s v="Financing"/>
    <n v="150"/>
    <n v="0.170710909785"/>
    <n v="6.8284363914000004"/>
    <m/>
    <m/>
    <m/>
  </r>
  <r>
    <x v="14"/>
    <x v="45"/>
    <s v="Export Credit &amp; Insurance"/>
    <n v="0"/>
    <s v="Vietnam Electricity Group (EVN)"/>
    <s v="Mitsubishi Corporation (MC), together with Doosan Heavy Industries &amp; Construction of Korea (Doosan) and Vietnamese partners, Power Engineering Consulting Joint Stock Company 2 and Pacific Corporation"/>
    <m/>
    <x v="319"/>
    <s v="http://www.mitsubishicorp.com/jp/en/pr/archive/2016/html/0000029773.html"/>
    <x v="3"/>
    <x v="6"/>
    <x v="24"/>
    <s v="Binh Thuan province"/>
    <s v="may be 100% equity"/>
    <s v="https://ijglobal.com/data/transaction/31707/vinh-tan-4-coal-fired-thermal-power-plant-1200mw"/>
    <s v="http://english.vietnamnet.vn/fms/business/152704/business-in-brief-20-1.html"/>
    <x v="0"/>
    <s v="Coal Power Plant"/>
    <s v="Financing"/>
    <n v="150"/>
    <n v="0.170710909785"/>
    <n v="6.8284363914000004"/>
    <m/>
    <m/>
    <m/>
  </r>
  <r>
    <x v="14"/>
    <x v="44"/>
    <s v="Export Credit &amp; Insurance"/>
    <n v="0"/>
    <s v="Toyo Thai (stalled)"/>
    <m/>
    <m/>
    <x v="320"/>
    <s v="http://www.elevenmyanmar.com/local/6078"/>
    <x v="3"/>
    <x v="6"/>
    <x v="41"/>
    <s v="Mon State"/>
    <s v="Based on IJGlobal article, it is assumed that JBIC will finance 80% of $2bn debt, or $1.6 bn: “Toyo-Thai plans to set up a holding company through existing subsidiary Toyo Thai Power called Toyo-Thai Power Myanmar to act as the project company. It is planning to mandate the Japan Bank for International Cooperation (JBIC) for roughly 80% of the $2bn debt required for the project.” "/>
    <s v="https://ijglobal.com/articles/106736/ttlc-to-invest-in-coal-power-plants-in-myanmar"/>
    <s v="http://www.sourcewatch.org/index.php/Inn_Din_power_station"/>
    <x v="0"/>
    <s v="Coal Power Plant - New"/>
    <s v="Financing"/>
    <n v="1280"/>
    <n v="1.4567330968319998"/>
    <n v="58.269323873279994"/>
    <m/>
    <m/>
    <m/>
  </r>
  <r>
    <x v="14"/>
    <x v="44"/>
    <s v="Export Credit &amp; Insurance"/>
    <n v="650000000"/>
    <s v="Sumitomo  Corp."/>
    <m/>
    <m/>
    <x v="321"/>
    <s v="https://ijglobal.com/articles/94256/jbic-debt-for-vietnams-van-phong-power"/>
    <x v="3"/>
    <x v="6"/>
    <x v="24"/>
    <m/>
    <s v="JBIC’s potential participation is clear, but amount is unclear. Allocated JBIC $650 million - 25% of $2.6 billion – which is a conservative estimate compared to JBIC’s share of participation in other coal-fired power.  projects. Project is listed as Van Phong 1. Investment certificate set to sign (6/08/17): Japan Bank for International Cooperation is expected to provide around 60% of the debt funding through an overseas loan. The total cost of the project is seen at between $2.5 and $3 billion.https://ijglobal.com/articles/106694/vietnam-van-phong-coal-fired-investment-certificate-set-to-sign"/>
    <s v="http://baokhanhhoa.com.vn/kinh-te/201504/du-an-nhiet-dien-van-phong-1-ban-giao-mat-bang-trong-nam-2015-2382242/"/>
    <s v="http://baocongthuong.com.vn/jbic-quan-tam-tien-do-3-du-an-nhiet-dien-bot-tai-viet-nam.html"/>
    <x v="0"/>
    <s v="Coal Power Plant - New"/>
    <s v="Financing"/>
    <n v="1320"/>
    <n v="1.5022560061080001"/>
    <n v="60.090240244320007"/>
    <m/>
    <m/>
    <m/>
  </r>
  <r>
    <x v="14"/>
    <x v="44"/>
    <m/>
    <n v="50000000"/>
    <s v="One Energy (CLP Group and Mitsubishi Corporation)"/>
    <s v="Harbin-General Electric alliance"/>
    <s v="TOSHIBA"/>
    <x v="139"/>
    <s v="https://ijglobal.com/articles/105868/jbic-and-nexi-back-part-of-vinh-tanh-3"/>
    <x v="3"/>
    <x v="6"/>
    <x v="24"/>
    <s v="Binh Thuan province"/>
    <s v="1,980MW Vinh Tan 3 coal-fired power plant  is expected to close by the third quarter of 2017, IJGlobal will essentially be export-credit agency financed with Sinosure and China Development Bank acting as the cornerstone lenders. "/>
    <m/>
    <m/>
    <x v="0"/>
    <s v="Coal Power Plant - New"/>
    <s v="Financing"/>
    <m/>
    <n v="0"/>
    <n v="0"/>
    <m/>
    <m/>
    <m/>
  </r>
  <r>
    <x v="14"/>
    <x v="44"/>
    <s v="Export Credit &amp; Insurance"/>
    <n v="625000000"/>
    <s v="CLP Holdings, Vung Ang Power Company + Mitsubishi (Japan) (BOT)"/>
    <s v="Mitsubishi (Japan) (BOT)"/>
    <m/>
    <x v="322"/>
    <s v="https://ijglobal.com/articles/106784/vietnam-vung-ang-2-coal-fired-plant-to-ink-ppa"/>
    <x v="3"/>
    <x v="6"/>
    <x v="24"/>
    <m/>
    <s v="http://thanhnien.vn/kinh-doanh/khoi-cong-nha-may-nhiet-dien-vinh-tan-4-mo-rong-695137.html"/>
    <s v="http://en.vietstock.com.vn/2017/01/vung-ang-ii-plant-bot-project-agreement-inked-974-250494.htm"/>
    <s v="http://baocongthuong.com.vn/jbic-quan-tam-tien-do-3-du-an-nhiet-dien-bot-tai-viet-nam.html"/>
    <x v="0"/>
    <s v="Coal Power Plant - New"/>
    <s v="Financing"/>
    <n v="1200"/>
    <n v="1.36568727828"/>
    <n v="54.627491131200003"/>
    <m/>
    <m/>
    <m/>
  </r>
  <r>
    <x v="14"/>
    <x v="44"/>
    <m/>
    <n v="730000000"/>
    <s v="Marubeni, Korea Midland Power, Samtan and PT Indika Energy"/>
    <s v="HYUNDAI"/>
    <s v="TOSHIBA"/>
    <x v="323"/>
    <s v="http://www.jbic.go.jp/en/efforts/environment/projects/49263"/>
    <x v="45"/>
    <x v="6"/>
    <x v="20"/>
    <s v="West Java"/>
    <s v="[Stalled]. This project reached financial close on April 18th, 2017, but then a court revoked the plant permit. https://ijglobal.com/articles/105966/court-revokes-cirebon-2-power-plant-permit-after-financial-close "/>
    <s v="https://ijglobal.com/data/transaction/34565_x000a_http://www.coalage.com/news/world-news/5451-black-veatch-to-consult-on-cirebon-2-power-project-in-indonesia.html#.WIerzFMrLIU"/>
    <s v="https://ijglobal.com/articles/105988/cirebon-2-consortium-expects-quick-appeal-on-revoked-permit"/>
    <x v="0"/>
    <s v="Coal Power Plant - Expansion"/>
    <s v="Deferred"/>
    <n v="333.33333333333331"/>
    <n v="0.37935757730000003"/>
    <n v="15.174303092000001"/>
    <m/>
    <m/>
    <m/>
  </r>
  <r>
    <x v="14"/>
    <x v="45"/>
    <m/>
    <n v="487200000"/>
    <s v="Marubeni, Korea Midland Power, Samtan and PT Indika Energy"/>
    <s v="HYUNDAI"/>
    <s v="TOSHIBA"/>
    <x v="323"/>
    <s v="http://www.jbic.go.jp/en/efforts/environment/projects/49263"/>
    <x v="45"/>
    <x v="6"/>
    <x v="20"/>
    <s v="West Java"/>
    <s v="[Stalled]. This project reached financial close on April 18th, 2017, but then a court revoked the plant permit. https://ijglobal.com/articles/105966/court-revokes-cirebon-2-power-plant-permit-after-financial-close "/>
    <s v="https://ijglobal.com/data/transaction/34565_x000a_http://www.coalage.com/news/world-news/5451-black-veatch-to-consult-on-cirebon-2-power-project-in-indonesia.html#.WIerzFMrLIU"/>
    <s v="https://ijglobal.com/articles/105988/cirebon-2-consortium-expects-quick-appeal-on-revoked-permit"/>
    <x v="0"/>
    <s v="Coal Power Plant - Expansion"/>
    <s v="Deferred"/>
    <n v="333.33333333333331"/>
    <n v="0.37935757730000003"/>
    <n v="15.174303092000001"/>
    <m/>
    <m/>
    <m/>
  </r>
  <r>
    <x v="14"/>
    <x v="19"/>
    <m/>
    <m/>
    <s v="ENERSUR SA"/>
    <s v="HITACHI"/>
    <s v="HITACHI"/>
    <x v="324"/>
    <m/>
    <x v="45"/>
    <x v="4"/>
    <x v="57"/>
    <s v="Moquegua"/>
    <m/>
    <m/>
    <m/>
    <x v="0"/>
    <m/>
    <s v="Deferred"/>
    <n v="135"/>
    <n v="0.15363981880649999"/>
    <n v="6.1455927522599998"/>
    <m/>
    <m/>
    <m/>
  </r>
  <r>
    <x v="14"/>
    <x v="44"/>
    <s v="Export Credit &amp; Insurance"/>
    <n v="1473932460"/>
    <s v="MC Finance Australia Pty Ltd (Subsidary of Mitsubishi Corporation)"/>
    <m/>
    <m/>
    <x v="325"/>
    <s v="http://www.jbic.go.jp/en/information/press/press-2012/0327-7392"/>
    <x v="132"/>
    <x v="2"/>
    <x v="3"/>
    <m/>
    <m/>
    <m/>
    <m/>
    <x v="1"/>
    <s v="Coal - Policy"/>
    <s v="Financial Close"/>
    <m/>
    <n v="0"/>
    <n v="0"/>
    <n v="5.5"/>
    <m/>
    <m/>
  </r>
  <r>
    <x v="14"/>
    <x v="44"/>
    <s v="Export Credit &amp; Insurance"/>
    <n v="500000000"/>
    <s v="Empresa Electrica Cochrane SpA (a subsidiary of Mitsubishi Corporation)"/>
    <m/>
    <m/>
    <x v="326"/>
    <s v="http://www.jbic.go.jp/en/information/press/press-2012/0328-7393"/>
    <x v="133"/>
    <x v="4"/>
    <x v="10"/>
    <m/>
    <s v="Bank group finances Chile's Cochrane power project. (2013). Trade Finance, 16(3), 18."/>
    <s v="http://sekitan.jp/jbic/wp-content/uploads/2014/01/Lists-of-Approved-Coal-Investments-by-JBIC-April-2015.pdf"/>
    <m/>
    <x v="1"/>
    <s v="Coal - Policy"/>
    <s v="Financial Close"/>
    <n v="236"/>
    <n v="0.26858516472839999"/>
    <n v="10.743406589136001"/>
    <m/>
    <m/>
    <m/>
  </r>
  <r>
    <x v="14"/>
    <x v="45"/>
    <s v="Export Credit &amp; Insurance"/>
    <n v="250000000"/>
    <s v="Mitsubishi Corporation"/>
    <m/>
    <m/>
    <x v="326"/>
    <s v="http://www.nexi.go.jp/topics/en/newsrelease/004735.html"/>
    <x v="133"/>
    <x v="4"/>
    <x v="10"/>
    <m/>
    <m/>
    <m/>
    <m/>
    <x v="1"/>
    <s v="Coal - Policy"/>
    <s v="Financial Close"/>
    <n v="236"/>
    <n v="0.26858516472839999"/>
    <n v="10.743406589136001"/>
    <m/>
    <m/>
    <m/>
  </r>
  <r>
    <x v="14"/>
    <x v="46"/>
    <s v="Other Public Financer"/>
    <n v="18371826"/>
    <s v="PT PLN (Persero)"/>
    <m/>
    <m/>
    <x v="327"/>
    <s v="http://www.jica.go.jp/english/news/press/2012/130328_02.html"/>
    <x v="133"/>
    <x v="6"/>
    <x v="20"/>
    <m/>
    <m/>
    <s v="http://www.jica.go.jp/english/our_work/social_environmental/id/asia/southeast/indonesia_a02.htmlJICA Website"/>
    <m/>
    <x v="1"/>
    <s v="Coal - Policy"/>
    <s v="Financial Close"/>
    <n v="990"/>
    <n v="1.1266920045809998"/>
    <n v="45.067680183239993"/>
    <m/>
    <m/>
    <m/>
  </r>
  <r>
    <x v="14"/>
    <x v="44"/>
    <s v="Export Credit &amp; Insurance"/>
    <n v="350000000"/>
    <s v="Idemitsu Australia Resources Pty Ltd"/>
    <m/>
    <m/>
    <x v="328"/>
    <s v="https://www.jbic.go.jp/en/information/press/press-2013/0516-7513"/>
    <x v="134"/>
    <x v="2"/>
    <x v="3"/>
    <m/>
    <m/>
    <m/>
    <m/>
    <x v="1"/>
    <s v="Coal - Policy"/>
    <s v="Financial Close"/>
    <m/>
    <n v="0"/>
    <n v="0"/>
    <n v="6.9"/>
    <m/>
    <m/>
  </r>
  <r>
    <x v="14"/>
    <x v="0"/>
    <s v="Multilateral"/>
    <n v="10942857.707319543"/>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1"/>
    <s v="Coal Power Plant - New"/>
    <s v="Financial Close"/>
    <m/>
    <n v="0"/>
    <n v="0"/>
    <m/>
    <m/>
    <m/>
  </r>
  <r>
    <x v="14"/>
    <x v="3"/>
    <s v="Multilateral"/>
    <n v="17231475.814692095"/>
    <s v="EPS"/>
    <m/>
    <m/>
    <x v="7"/>
    <s v="http://www.ebrd.com/work-with-us/projects/psd/eps-restructuring.html"/>
    <x v="5"/>
    <x v="3"/>
    <x v="5"/>
    <m/>
    <s v="Financing for restructing of Serbian state-owned utility EPS, which is lignite-heavy and maintains plans for significant lignite expansion. _x000a__x000a_While not exclusively for coal, this investment is included because of EPS lignite expansion plans and lack of prior EBRD investments in EPS resulting in observable changes in supply mix or capacity addition plans."/>
    <s v="http://www.ebrd.com/news/2015/ebrd-supports-reform-of-serbias-power-sector-with-200-million-loan-to-eps.html_x000a_http://bankwatch.org/publications/issues-serbian-electricity-company-eps-need-be-addressed-within - New-ebrd-loan_x000a_http://bankwatch.org/bwmail/62/ebrd-digs-deeper-serbian-coal-king"/>
    <m/>
    <x v="1"/>
    <s v="Other"/>
    <s v="Financial Close"/>
    <m/>
    <n v="0"/>
    <n v="0"/>
    <m/>
    <m/>
    <m/>
  </r>
  <r>
    <x v="14"/>
    <x v="0"/>
    <s v="Multilateral"/>
    <n v="61553574.603672422"/>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14"/>
    <x v="48"/>
    <s v="Other Public Financer"/>
    <n v="3000000"/>
    <s v="PT Megah Pratama Resources"/>
    <m/>
    <m/>
    <x v="329"/>
    <s v="http://www.jogmec.go.jp/english/news/release/news_06_000017.html_x000a_"/>
    <x v="135"/>
    <x v="6"/>
    <x v="20"/>
    <m/>
    <m/>
    <m/>
    <m/>
    <x v="1"/>
    <s v="Coal - Exploration"/>
    <s v="Financial Close"/>
    <n v="0"/>
    <n v="0"/>
    <n v="0"/>
    <m/>
    <m/>
    <m/>
  </r>
  <r>
    <x v="14"/>
    <x v="44"/>
    <s v="Export Credit &amp; Insurance"/>
    <m/>
    <s v="Vale and Mitsui"/>
    <m/>
    <m/>
    <x v="330"/>
    <s v="http://www.jbic.go.jp/en/efforts/environment/projects/51455"/>
    <x v="3"/>
    <x v="0"/>
    <x v="40"/>
    <m/>
    <s v="The Project’s total cost is expected to be around US$5 billion (of which about US$2.7 billion will be financed by senior debt). IFC is considering investing up to US$200 million as an A Loan together with US$65 million from SAFE, China under the Managed Co-lending Portfolio Program_x000a_The proposed investment consists of the project for the construction and operation of a 912 km long railway line (greenfield as well as brownfield) extending from the Tete region in north-west Mozambique through Malawi to a greenfield deep sea coal terminal in Nacala-a-Velha on the north east coast of Mozambique (the “Nacala Corridor Project”). The project will enable evacuation and export of the coal produced by the Moatize coal mine operated by Vale Moçambique, a large Brazilian mining conglomerate, in the Tete region of Mozambique."/>
    <m/>
    <m/>
    <x v="1"/>
    <s v="Coal - Transport"/>
    <s v="Financing"/>
    <m/>
    <n v="0"/>
    <n v="0"/>
    <m/>
    <m/>
    <m/>
  </r>
  <r>
    <x v="14"/>
    <x v="45"/>
    <s v="Export Credit &amp; Insurance"/>
    <m/>
    <s v="Vale and Mitsui"/>
    <m/>
    <m/>
    <x v="330"/>
    <s v="http://www.jbic.go.jp/en/efforts/environment/projects/51455"/>
    <x v="3"/>
    <x v="0"/>
    <x v="40"/>
    <m/>
    <s v="The Project’s total cost is expected to be around US$5 billion (of which about US$2.7 billion will be financed by senior debt). IFC is considering investing up to US$200 million as an A Loan together with US$65 million from SAFE, China under the Managed Co-lending Portfolio Program_x000a_The proposed investment consists of the project for the construction and operation of a 912 km long railway line (greenfield as well as brownfield) extending from the Tete region in north-west Mozambique through Malawi to a greenfield deep sea coal terminal in Nacala-a-Velha on the north east coast of Mozambique (the “Nacala Corridor Project”). The project will enable evacuation and export of the coal produced by the Moatize coal mine operated by Vale Moçambique, a large Brazilian mining conglomerate, in the Tete region of Mozambique."/>
    <m/>
    <m/>
    <x v="1"/>
    <s v="Coal - Transport"/>
    <s v="Financing"/>
    <m/>
    <n v="0"/>
    <n v="0"/>
    <m/>
    <m/>
    <m/>
  </r>
  <r>
    <x v="14"/>
    <x v="46"/>
    <s v="Other Public Financer"/>
    <n v="0"/>
    <s v="Vale and Mitsui"/>
    <m/>
    <m/>
    <x v="330"/>
    <s v="http://www.jbic.go.jp/en/efforts/environment/projects/51455"/>
    <x v="3"/>
    <x v="0"/>
    <x v="40"/>
    <m/>
    <s v="The Project’s total cost is expected to be around US$5 billion (of which about US$2.7 billion will be financed by senior debt). IFC is considering investing up to US$200 million as an A Loan together with US$65 million from SAFE, China under the Managed Co-lending Portfolio Program_x000a_The proposed investment consists of the project for the construction and operation of a 912 km long railway line (greenfield as well as brownfield) extending from the Tete region in north-west Mozambique through Malawi to a greenfield deep sea coal terminal in Nacala-a-Velha on the north east coast of Mozambique (the “Nacala Corridor Project”). The project will enable evacuation and export of the coal produced by the Moatize coal mine operated by Vale Moçambique, a large Brazilian mining conglomerate, in the Tete region of Mozambique."/>
    <m/>
    <m/>
    <x v="1"/>
    <s v="Coal - Transport"/>
    <s v="Financing"/>
    <m/>
    <n v="0"/>
    <n v="0"/>
    <n v="3"/>
    <m/>
    <m/>
  </r>
  <r>
    <x v="14"/>
    <x v="49"/>
    <s v="Other Public Financer"/>
    <n v="560000000"/>
    <m/>
    <m/>
    <m/>
    <x v="331"/>
    <s v="https://ijglobal.com/data/transaction/28105/ice-costa-rica-geothermal-portfolio-155mw"/>
    <x v="136"/>
    <x v="4"/>
    <x v="58"/>
    <m/>
    <m/>
    <m/>
    <m/>
    <x v="3"/>
    <s v="Geothermal"/>
    <s v="Financial Close"/>
    <n v="77.5"/>
    <n v="8.8200636722250009E-2"/>
    <n v="3.5280254688900001"/>
    <m/>
    <n v="77.5"/>
    <m/>
  </r>
  <r>
    <x v="14"/>
    <x v="44"/>
    <s v="Export Credit &amp; Insurance"/>
    <n v="56750000"/>
    <s v="Zorlu Jeotermal Enerji Elektrik Ãœretim A.S."/>
    <m/>
    <m/>
    <x v="332"/>
    <s v="https://ijglobal.com/data/transaction/28387/alasehir-geothermal-plant-in-manisa-30mw"/>
    <x v="137"/>
    <x v="3"/>
    <x v="46"/>
    <m/>
    <m/>
    <m/>
    <m/>
    <x v="3"/>
    <s v="Geothermal"/>
    <s v="Financial Close"/>
    <n v="7.5"/>
    <n v="8.5355454892500019E-3"/>
    <n v="0.34142181957000006"/>
    <m/>
    <n v="7.5"/>
    <m/>
  </r>
  <r>
    <x v="14"/>
    <x v="44"/>
    <s v="Export Credit &amp; Insurance"/>
    <n v="492000000"/>
    <s v="Sarulla Operations LTD (SOL)"/>
    <m/>
    <m/>
    <x v="333"/>
    <s v="https://ijglobal.com/data/transaction/16783/sarulla-geothermal-plant-330mw"/>
    <x v="138"/>
    <x v="6"/>
    <x v="20"/>
    <m/>
    <m/>
    <m/>
    <m/>
    <x v="3"/>
    <s v="Geothermal"/>
    <s v="Financial Close"/>
    <n v="20.625"/>
    <n v="2.3472750095437502E-2"/>
    <n v="0.93891000381750012"/>
    <m/>
    <n v="20.625"/>
    <m/>
  </r>
  <r>
    <x v="14"/>
    <x v="44"/>
    <s v="Other Public Financer"/>
    <n v="66440000"/>
    <s v="PT Rajamandala Electric Power"/>
    <m/>
    <m/>
    <x v="334"/>
    <s v="https://ijglobal.com/data/transaction/31228/rajamandala-hydroelectric-power-plant-47mw"/>
    <x v="139"/>
    <x v="6"/>
    <x v="20"/>
    <m/>
    <m/>
    <m/>
    <m/>
    <x v="3"/>
    <s v="Small Hydro"/>
    <s v="Financial Close"/>
    <n v="47"/>
    <n v="5.3489418399300007E-2"/>
    <n v="2.1395767359720002"/>
    <m/>
    <n v="47"/>
    <m/>
  </r>
  <r>
    <x v="14"/>
    <x v="44"/>
    <s v="Export Credit &amp; Insurance"/>
    <n v="16670000.000000002"/>
    <s v="PT Supreme Energy Rantau Dedap"/>
    <m/>
    <m/>
    <x v="335"/>
    <s v="https://ijglobal.com/data/transaction/22449/rantau-dedap-geothermal-ipp-220mw"/>
    <x v="140"/>
    <x v="6"/>
    <x v="20"/>
    <m/>
    <m/>
    <m/>
    <m/>
    <x v="3"/>
    <s v="Geothermal"/>
    <s v="Financial Close"/>
    <n v="110"/>
    <n v="0.12518800050899997"/>
    <n v="5.0075200203599994"/>
    <m/>
    <n v="110"/>
    <m/>
  </r>
  <r>
    <x v="14"/>
    <x v="50"/>
    <s v="Other Public Financer"/>
    <n v="77000000"/>
    <m/>
    <m/>
    <m/>
    <x v="336"/>
    <s v="https://ijglobal.com/data/transaction/29173/shams-maan-solar-pv-plant-525mw"/>
    <x v="141"/>
    <x v="7"/>
    <x v="56"/>
    <m/>
    <m/>
    <m/>
    <m/>
    <x v="3"/>
    <s v="Photovoltaic Solar"/>
    <s v="Financial Close"/>
    <n v="52.5"/>
    <n v="5.9748818424750001E-2"/>
    <n v="2.3899527369900002"/>
    <m/>
    <n v="52.5"/>
    <m/>
  </r>
  <r>
    <x v="14"/>
    <x v="49"/>
    <s v="Other Public Financer"/>
    <n v="430000000"/>
    <m/>
    <m/>
    <m/>
    <x v="167"/>
    <s v="https://ijglobal.com/data/transaction/16901/gabal-el-zeit-wind-farm-200mw"/>
    <x v="56"/>
    <x v="7"/>
    <x v="32"/>
    <m/>
    <m/>
    <m/>
    <m/>
    <x v="3"/>
    <s v="Onshore Wind"/>
    <s v="Financial Close"/>
    <n v="66.666666666666671"/>
    <n v="7.5871515459999997E-2"/>
    <n v="3.0348606183999998"/>
    <m/>
    <n v="66.666666666666671"/>
    <m/>
  </r>
  <r>
    <x v="14"/>
    <x v="50"/>
    <s v="Other Public Financer"/>
    <n v="67850000"/>
    <m/>
    <m/>
    <m/>
    <x v="337"/>
    <s v="https://ijglobal.com/data/transaction/35043/theistareykir-geothermal-plant-90mw"/>
    <x v="142"/>
    <x v="3"/>
    <x v="75"/>
    <m/>
    <m/>
    <m/>
    <m/>
    <x v="3"/>
    <s v="Geothermal"/>
    <s v="Financial Close"/>
    <n v="45"/>
    <n v="5.1213272935500001E-2"/>
    <n v="2.0485309174199999"/>
    <m/>
    <n v="45"/>
    <m/>
  </r>
  <r>
    <x v="14"/>
    <x v="51"/>
    <s v="Other Public Financer"/>
    <n v="28890000"/>
    <m/>
    <m/>
    <m/>
    <x v="338"/>
    <s v="https://ijglobal.com/data/transaction/34346/tees-chp-biomass-plant-299mw"/>
    <x v="143"/>
    <x v="3"/>
    <x v="52"/>
    <s v="England"/>
    <m/>
    <m/>
    <m/>
    <x v="3"/>
    <s v="Biomass"/>
    <s v="Financial Close"/>
    <n v="24.916666666666668"/>
    <n v="2.8356978903175001E-2"/>
    <n v="1.134279156127"/>
    <m/>
    <n v="24.916666666666668"/>
    <m/>
  </r>
  <r>
    <x v="14"/>
    <x v="51"/>
    <s v="Other Public Financer"/>
    <n v="2600000"/>
    <m/>
    <m/>
    <m/>
    <x v="338"/>
    <s v="https://ijglobal.com/data/transaction/34346/tees-chp-biomass-plant-299mw"/>
    <x v="143"/>
    <x v="3"/>
    <x v="52"/>
    <s v="England"/>
    <m/>
    <m/>
    <m/>
    <x v="3"/>
    <s v="Biomass"/>
    <s v="Financial Close"/>
    <n v="24.916666666666668"/>
    <n v="2.8356978903175001E-2"/>
    <n v="1.134279156127"/>
    <m/>
    <n v="24.916666666666668"/>
    <m/>
  </r>
  <r>
    <x v="14"/>
    <x v="51"/>
    <s v="Other Public Financer"/>
    <n v="8460000"/>
    <m/>
    <m/>
    <m/>
    <x v="338"/>
    <s v="https://ijglobal.com/data/transaction/34346/tees-chp-biomass-plant-299mw"/>
    <x v="143"/>
    <x v="3"/>
    <x v="52"/>
    <s v="England"/>
    <m/>
    <m/>
    <m/>
    <x v="3"/>
    <s v="Biomass"/>
    <s v="Financial Close"/>
    <n v="24.916666666666668"/>
    <n v="2.8356978903175001E-2"/>
    <n v="1.134279156127"/>
    <m/>
    <n v="24.916666666666668"/>
    <m/>
  </r>
  <r>
    <x v="14"/>
    <x v="51"/>
    <s v="Other Public Financer"/>
    <n v="3760000"/>
    <m/>
    <m/>
    <m/>
    <x v="338"/>
    <s v="https://ijglobal.com/data/transaction/34346/tees-chp-biomass-plant-299mw"/>
    <x v="143"/>
    <x v="3"/>
    <x v="52"/>
    <s v="England"/>
    <m/>
    <m/>
    <m/>
    <x v="3"/>
    <s v="Biomass"/>
    <s v="Financial Close"/>
    <n v="24.916666666666668"/>
    <n v="2.8356978903175001E-2"/>
    <n v="1.134279156127"/>
    <m/>
    <n v="24.916666666666668"/>
    <m/>
  </r>
  <r>
    <x v="14"/>
    <x v="51"/>
    <s v="Other Public Financer"/>
    <n v="13010000"/>
    <m/>
    <m/>
    <m/>
    <x v="338"/>
    <s v="https://ijglobal.com/data/transaction/34346/tees-chp-biomass-plant-299mw"/>
    <x v="143"/>
    <x v="3"/>
    <x v="52"/>
    <s v="England"/>
    <m/>
    <m/>
    <m/>
    <x v="3"/>
    <s v="Biomass"/>
    <s v="Financial Close"/>
    <n v="24.916666666666668"/>
    <n v="2.8356978903175001E-2"/>
    <n v="1.134279156127"/>
    <m/>
    <n v="24.916666666666668"/>
    <m/>
  </r>
  <r>
    <x v="14"/>
    <x v="51"/>
    <s v="Other Public Financer"/>
    <n v="15290000"/>
    <m/>
    <m/>
    <m/>
    <x v="338"/>
    <s v="https://ijglobal.com/data/transaction/34346/tees-chp-biomass-plant-299mw"/>
    <x v="143"/>
    <x v="3"/>
    <x v="52"/>
    <s v="England"/>
    <m/>
    <m/>
    <m/>
    <x v="3"/>
    <s v="Biomass"/>
    <s v="Financial Close"/>
    <n v="24.916666666666668"/>
    <n v="2.8356978903175001E-2"/>
    <n v="1.134279156127"/>
    <m/>
    <n v="24.916666666666668"/>
    <m/>
  </r>
  <r>
    <x v="14"/>
    <x v="49"/>
    <s v="Other Public Financer"/>
    <n v="65000000"/>
    <m/>
    <m/>
    <m/>
    <x v="339"/>
    <s v="https://ijglobal.com/data/transaction/34437/tsetsii-wind-farm-50mw"/>
    <x v="144"/>
    <x v="8"/>
    <x v="38"/>
    <m/>
    <m/>
    <m/>
    <m/>
    <x v="3"/>
    <s v="Onshore Wind"/>
    <s v="Financial Close"/>
    <n v="25"/>
    <n v="2.8451818297500001E-2"/>
    <n v="1.1380727318999999"/>
    <m/>
    <n v="25"/>
    <m/>
  </r>
  <r>
    <x v="14"/>
    <x v="44"/>
    <s v="Export Credit &amp; Insurance"/>
    <n v="198000000"/>
    <s v="PT Supreme Energy Muara Laboh"/>
    <m/>
    <m/>
    <x v="340"/>
    <s v="https://tradefinanceanalytics.com/data/transaction/55639/supreme-energy-muara-laboh"/>
    <x v="145"/>
    <x v="6"/>
    <x v="20"/>
    <s v="South Solok in West Sumatra"/>
    <s v="The $439 million package $198 million loan from JBIC, $109 million of loans from the Asian Development Bank and $132 million from Bank of Tokyo-Mitsubishi UFJ, Mizuho and SMBC"/>
    <s v="https://ijglobal.com/data/transaction/37541?name=Muara%20Laboh%20Geothermal%20Power%20Plant%20(80MW)%20PPP&amp;link=%2Farticles%2F105528%2Ffinancial-close-for-muara-laboh-geothermal"/>
    <m/>
    <x v="3"/>
    <s v="Geothermal"/>
    <s v="Financial Close"/>
    <n v="9"/>
    <n v="1.0242654587099999E-2"/>
    <n v="0.40970618348399995"/>
    <m/>
    <n v="9"/>
    <m/>
  </r>
  <r>
    <x v="14"/>
    <x v="45"/>
    <s v="Export Credit &amp; Insurance"/>
    <n v="132000000"/>
    <s v="PT Supreme Energy Muara Laboh"/>
    <m/>
    <m/>
    <x v="340"/>
    <s v="https://tradefinanceanalytics.com/data/transaction/55639/supreme-energy-muara-laboh"/>
    <x v="145"/>
    <x v="6"/>
    <x v="20"/>
    <s v="South Solok in West Sumatra"/>
    <s v="The $439 million package $198 million loan from JBIC, $109 million of loans from the Asian Development Bank and $132 million from Bank of Tokyo-Mitsubishi UFJ, Mizuho and SMBC"/>
    <s v="https://ijglobal.com/data/transaction/37541?name=Muara%20Laboh%20Geothermal%20Power%20Plant%20(80MW)%20PPP&amp;link=%2Farticles%2F105528%2Ffinancial-close-for-muara-laboh-geothermal"/>
    <m/>
    <x v="3"/>
    <s v="Geothermal"/>
    <s v="Financial Close"/>
    <n v="9"/>
    <n v="1.0242654587099999E-2"/>
    <n v="0.40970618348399995"/>
    <m/>
    <n v="9"/>
    <m/>
  </r>
  <r>
    <x v="14"/>
    <x v="44"/>
    <s v="Export Credit &amp; Insurance"/>
    <n v="0"/>
    <s v="PT Supreme Energy Rantau Dedap"/>
    <m/>
    <m/>
    <x v="341"/>
    <s v="https://ijglobal.com/data/transaction/35042/rantau-dedap-geothermal-additional-facility"/>
    <x v="3"/>
    <x v="6"/>
    <x v="20"/>
    <m/>
    <m/>
    <m/>
    <m/>
    <x v="3"/>
    <s v="Geothermal"/>
    <s v="Financing"/>
    <m/>
    <n v="0"/>
    <n v="0"/>
    <m/>
    <m/>
    <m/>
  </r>
  <r>
    <x v="14"/>
    <x v="49"/>
    <s v="Other Public Financer"/>
    <n v="553100000"/>
    <m/>
    <m/>
    <m/>
    <x v="342"/>
    <s v="https://ijglobal.com/data/transaction/37880/laguna-colorada-geothermal-power-plant-second-stage-100mw"/>
    <x v="3"/>
    <x v="4"/>
    <x v="54"/>
    <m/>
    <m/>
    <m/>
    <m/>
    <x v="3"/>
    <s v="Geothermal"/>
    <s v="Financing"/>
    <n v="100"/>
    <n v="0.11380727319"/>
    <n v="4.5522909275999996"/>
    <m/>
    <n v="100"/>
    <m/>
  </r>
  <r>
    <x v="14"/>
    <x v="49"/>
    <s v="Other Public Financer"/>
    <n v="195000000"/>
    <m/>
    <m/>
    <m/>
    <x v="343"/>
    <s v="https://ijglobal.com/data/transaction/37462/renew-power-portfolio-financing"/>
    <x v="3"/>
    <x v="5"/>
    <x v="50"/>
    <s v="Andhra Pradesh,Gujarat,Jharkhand,Karnataka,Madhya Pradesh"/>
    <m/>
    <m/>
    <m/>
    <x v="3"/>
    <s v="Onshore Wind,Photovoltaic Solar"/>
    <s v="Financing"/>
    <m/>
    <n v="0"/>
    <n v="0"/>
    <m/>
    <m/>
    <m/>
  </r>
  <r>
    <x v="14"/>
    <x v="46"/>
    <s v="Other Public Financer"/>
    <n v="406680400"/>
    <s v="Government of Bangladesh"/>
    <m/>
    <m/>
    <x v="344"/>
    <s v="http://www.jica.go.jp/english/news/press/2014/140616_02.html"/>
    <x v="146"/>
    <x v="5"/>
    <x v="27"/>
    <m/>
    <m/>
    <m/>
    <m/>
    <x v="5"/>
    <s v="Coal - T &amp; D"/>
    <s v="Financial Close"/>
    <n v="1200"/>
    <n v="1.36568727828"/>
    <n v="54.627491131200003"/>
    <m/>
    <m/>
    <m/>
  </r>
  <r>
    <x v="14"/>
    <x v="46"/>
    <s v="Other Public Financer"/>
    <n v="429731482"/>
    <s v="Government of Bangladesh"/>
    <m/>
    <m/>
    <x v="345"/>
    <s v="http://www.jica.go.jp/english/news/press/2015/151214_01.html"/>
    <x v="147"/>
    <x v="5"/>
    <x v="27"/>
    <m/>
    <s v="43,769 million yen"/>
    <s v="http://energybangla.com/ecnec-approves-dhaka-chittagong-main-power-grid-project/"/>
    <m/>
    <x v="5"/>
    <s v="T&amp;D"/>
    <s v="Financial Close"/>
    <m/>
    <n v="0"/>
    <n v="0"/>
    <m/>
    <m/>
    <m/>
  </r>
  <r>
    <x v="15"/>
    <x v="52"/>
    <s v="Other Public Financer"/>
    <n v="24400000"/>
    <s v="Senagan Energi"/>
    <m/>
    <m/>
    <x v="346"/>
    <s v="https://ijglobal.com/data/transaction/28570/kreung-isep-hydropower-project-10mw"/>
    <x v="148"/>
    <x v="6"/>
    <x v="20"/>
    <m/>
    <m/>
    <m/>
    <m/>
    <x v="3"/>
    <s v="Small Hydro"/>
    <s v="Financial Close"/>
    <n v="10"/>
    <n v="1.1380727318999998E-2"/>
    <n v="0.45522909275999995"/>
    <m/>
    <n v="10"/>
    <m/>
  </r>
  <r>
    <x v="16"/>
    <x v="3"/>
    <s v="Multilateral"/>
    <n v="303377.93570895126"/>
    <s v="EPS"/>
    <m/>
    <m/>
    <x v="7"/>
    <s v="http://www.ebrd.com/work-with-us/projects/psd/eps-restructuring.html"/>
    <x v="5"/>
    <x v="3"/>
    <x v="5"/>
    <m/>
    <s v="Financing for restructing of Serbian state-owned utility EPS, which is lignite-heavy and maintains plans for significant lignite expansion. _x000a__x000a_While not exclusively for coal, this investment is included because of EPS lignite expansion plans and lack of prior EBRD investments in EPS resulting in observable changes in supply mix or capacity addition plans."/>
    <s v="http://www.ebrd.com/news/2015/ebrd-supports-reform-of-serbias-power-sector-with-200-million-loan-to-eps.html_x000a_http://bankwatch.org/publications/issues-serbian-electricity-company-eps-need-be-addressed-within - New-ebrd-loan_x000a_http://bankwatch.org/bwmail/62/ebrd-digs-deeper-serbian-coal-king"/>
    <m/>
    <x v="1"/>
    <s v="Other"/>
    <s v="Financial Close"/>
    <m/>
    <n v="0"/>
    <n v="0"/>
    <m/>
    <m/>
    <m/>
  </r>
  <r>
    <x v="16"/>
    <x v="53"/>
    <s v="Other Public Financer"/>
    <n v="50000000"/>
    <m/>
    <m/>
    <m/>
    <x v="347"/>
    <s v="https://ijglobal.com/data/transaction/27744/aura-solar-pv-financing-368mw"/>
    <x v="149"/>
    <x v="4"/>
    <x v="76"/>
    <m/>
    <m/>
    <m/>
    <m/>
    <x v="3"/>
    <s v="Photovoltaic Solar"/>
    <s v="Financial Close"/>
    <n v="36.799999999999997"/>
    <n v="4.1881076533920002E-2"/>
    <n v="1.6752430613568001"/>
    <m/>
    <n v="36.799999999999997"/>
    <m/>
  </r>
  <r>
    <x v="16"/>
    <x v="54"/>
    <s v="Other Public Financer"/>
    <n v="45500000"/>
    <m/>
    <m/>
    <m/>
    <x v="264"/>
    <s v="https://ijglobal.com/data/transaction/32469/aura-ii-solar-pv-plant-61mw"/>
    <x v="99"/>
    <x v="4"/>
    <x v="7"/>
    <m/>
    <m/>
    <m/>
    <m/>
    <x v="3"/>
    <s v="Photovoltaic Solar"/>
    <s v="Financial Close"/>
    <n v="20.333333333333332"/>
    <n v="2.3140812215300004E-2"/>
    <n v="0.9256324886120002"/>
    <m/>
    <n v="20.333333333333332"/>
    <m/>
  </r>
  <r>
    <x v="16"/>
    <x v="54"/>
    <s v="Other Public Financer"/>
    <n v="44400000"/>
    <m/>
    <m/>
    <m/>
    <x v="348"/>
    <s v="https://ijglobal.com/data/transaction/28103/la-bufa-wind-farm-130mw"/>
    <x v="150"/>
    <x v="4"/>
    <x v="76"/>
    <m/>
    <m/>
    <m/>
    <m/>
    <x v="3"/>
    <s v="Onshore Wind"/>
    <s v="Financial Close"/>
    <n v="65"/>
    <n v="7.3974727573500015E-2"/>
    <n v="2.9589891029400004"/>
    <m/>
    <n v="65"/>
    <m/>
  </r>
  <r>
    <x v="16"/>
    <x v="53"/>
    <s v="Other Public Financer"/>
    <n v="56250000"/>
    <m/>
    <m/>
    <m/>
    <x v="348"/>
    <s v="https://ijglobal.com/data/transaction/28103/la-bufa-wind-farm-130mw"/>
    <x v="150"/>
    <x v="4"/>
    <x v="76"/>
    <m/>
    <m/>
    <m/>
    <m/>
    <x v="3"/>
    <s v="Onshore Wind"/>
    <s v="Financial Close"/>
    <n v="65"/>
    <n v="7.3974727573500015E-2"/>
    <n v="2.9589891029400004"/>
    <m/>
    <n v="65"/>
    <m/>
  </r>
  <r>
    <x v="17"/>
    <x v="55"/>
    <s v="Multilateral"/>
    <n v="4200000"/>
    <s v="Government of Kosovo"/>
    <m/>
    <m/>
    <x v="349"/>
    <s v="http://www.ebrd.com/work-with-us/projects/psd/pavlodar-energo.html"/>
    <x v="151"/>
    <x v="3"/>
    <x v="65"/>
    <m/>
    <s v="Loan (General energy - 69%) The objectives of the Second Additional Financing for the Energy Sector Clean-Up and Land Reclamation Project (CLRP) are to: a) address environmental legacy issues related to open dumping of ashes on land; b) enable Kosovo Energy Corporation (KEK) to free land for community development purposes currently taken by overburden materials and enable KEK to remediate the Kosovo A ash dump; and c) build capacity in KEK for continued clean-up and environmentally good practice mining operations._x000a__x000a_Bank response: Original 2006 project included preparation of Mirash Open Pit Mine for Ash Management; Remediation of Kosovo A Ash Dump; Reclamation of Overburden Dump Areas. Additional Financing funds tree planting in overburden areas; scale-up of ongoing tar deposits/tar sludge removal"/>
    <m/>
    <m/>
    <x v="2"/>
    <s v="Coal Mining - Cleanup"/>
    <s v="Financial Close"/>
    <m/>
    <n v="0"/>
    <n v="0"/>
    <m/>
    <m/>
    <m/>
  </r>
  <r>
    <x v="17"/>
    <x v="56"/>
    <s v="Multilateral"/>
    <n v="350000"/>
    <s v="Mongolia Ministry of Mining and Energy"/>
    <m/>
    <m/>
    <x v="350"/>
    <m/>
    <x v="152"/>
    <x v="8"/>
    <x v="38"/>
    <m/>
    <s v="Coal-to-liquids_x000a_ADB Project 48029-001: Source of Funding - ADB/Technical Assistance Special Fund ($0.35 m.). Coal-to-liquid (CTL) process. _x000a_ADB RESPONSE: This is a Policy Advisory Technical Assistance. ADB does not count it as part of its loan investments"/>
    <s v="http://www.adb.org/sites/default/files/project-document/150799/48029-001-tar.pdf"/>
    <m/>
    <x v="2"/>
    <s v="Coal Mining"/>
    <s v="Financial Close"/>
    <m/>
    <n v="0"/>
    <n v="0"/>
    <m/>
    <m/>
    <m/>
  </r>
  <r>
    <x v="17"/>
    <x v="56"/>
    <s v="Multilateral"/>
    <n v="900525000"/>
    <s v="Government of Pakistan"/>
    <m/>
    <m/>
    <x v="351"/>
    <m/>
    <x v="153"/>
    <x v="5"/>
    <x v="19"/>
    <m/>
    <s v="ABD Project 47094-001: Source of Funding - ADB Ordinary Capital Resources ($870 million) &amp; ADB/Asian Development Fund ($30 million). Loan (Dec 2013) and Grant (Aug 2013) Supercritical; Power Plant emission are divided evenly among the G20 countries that provided funding to the projects. _x000a_ADB RESPONSE: Confirmed"/>
    <s v="http://www.adb.org/projects/47094-001/main"/>
    <m/>
    <x v="0"/>
    <s v="Coal Power Plant - New"/>
    <s v="Financial Close"/>
    <n v="600"/>
    <n v="0.68284363914000001"/>
    <n v="27.313745565600001"/>
    <m/>
    <m/>
    <m/>
  </r>
  <r>
    <x v="17"/>
    <x v="55"/>
    <s v="Multilateral"/>
    <n v="7500000"/>
    <s v="Government of Senegal"/>
    <m/>
    <m/>
    <x v="352"/>
    <s v="http://www.ebrd.com/english/pages/project/psd/2008/38016.shtml"/>
    <x v="154"/>
    <x v="0"/>
    <x v="8"/>
    <m/>
    <s v="Financing - IDA ($30.0 m.). Sector: General energy - 25%. General energy sector support includes coordination with the development of the 125 MW Sendou coal power plant_x000a__x000a_On energy aspects, Government has entered into a performance contract with utility (SENELEC) to reduce distribution losses, increase billing recovery, and strengthen financial management."/>
    <m/>
    <m/>
    <x v="0"/>
    <s v="Coal Power Plant - New"/>
    <s v="Financial Close"/>
    <n v="125"/>
    <n v="0.14225909148750002"/>
    <n v="5.6903636595000009"/>
    <m/>
    <m/>
    <s v="Yes"/>
  </r>
  <r>
    <x v="17"/>
    <x v="57"/>
    <s v="Multilateral"/>
    <n v="146970000"/>
    <s v="Stora Enso Oyj "/>
    <m/>
    <m/>
    <x v="353"/>
    <s v="https://ifcndd.ifc.org/ifcext/spiwebsite1.nsf/78e3b305216fcdba85257a8b0075079d/7786a0ba1f47451685257c2b00686cd7?opendocument"/>
    <x v="155"/>
    <x v="10"/>
    <x v="64"/>
    <m/>
    <s v="$88 mil Loan and $59 mil equity. The Project is to build plantation-based integrated board and pulp mills at Beihai city in Guangxi, southern China. From the US government's statement: &quot;..the project relies on coal for at least 80 percent of its needs in the expected three years of phase one of the project, and 20 percent thereafter._x000a__x000a_Manufacturing project that includes power generation. Coal is expected to provide 20% of the fuel mix in the greenfield pulp and board mill’s cogeneration systems. "/>
    <m/>
    <m/>
    <x v="0"/>
    <s v="Coal Power Plant - New"/>
    <s v="Financial Close"/>
    <m/>
    <n v="0"/>
    <n v="0"/>
    <m/>
    <m/>
    <m/>
  </r>
  <r>
    <x v="17"/>
    <x v="57"/>
    <s v="Multilateral"/>
    <n v="33330000"/>
    <s v="ACWA Equity"/>
    <m/>
    <m/>
    <x v="354"/>
    <s v="http://www-wds.worldbank.org/external/default/WDSContentServer/WDSP/IB/2014/03/22/000414397_20140324123257/Rendered/PDF/PID0Pakistan0P00DPC0March012002014.pdf"/>
    <x v="156"/>
    <x v="7"/>
    <x v="77"/>
    <m/>
    <s v="Equity investment in ACWA Power / International Company for Water and Power projects includes support for a 270 MW coal power plant in Mozambique and a 450 MW coal power plant in South Africa. _x000a__x000a_This project differs from the institution's list of projects. Primary areas of disagreement are on 1) policy loans that included coal components, 2) private sector financing to projects or companies that include coal components orrely on coal power and 3) financing to financial intermediaries that have a heavy emphasis on supporting coal._x000a__x000a_Bank Response: IFC’s financing agreements explicitly state that IFC funds cannot be used in ACWA coal projects. Funds from the IFC disbursement to ACWA were used in renewable energy projects. Note: ACWA’s coal projects have yet to reach financial close."/>
    <m/>
    <m/>
    <x v="0"/>
    <s v="Coal Power Plant - New"/>
    <s v="Financial Close"/>
    <n v="720"/>
    <n v="0.81941236696800002"/>
    <n v="32.776494678719999"/>
    <m/>
    <m/>
    <m/>
  </r>
  <r>
    <x v="17"/>
    <x v="56"/>
    <s v="Multilateral"/>
    <n v="900000000"/>
    <s v="Government of Pakistan"/>
    <m/>
    <m/>
    <x v="355"/>
    <s v="https://ijglobal.com/data/transaction/31998/jamshoro-coal-fired-power-plant-expansion-1200mw"/>
    <x v="3"/>
    <x v="5"/>
    <x v="19"/>
    <s v="Sindh province"/>
    <s v="80/20 blend of imported sub-bituminous coal and domestic lignite"/>
    <m/>
    <m/>
    <x v="0"/>
    <s v="Coal Power Plant - New"/>
    <s v="Financing"/>
    <n v="600"/>
    <n v="0.68284363914000001"/>
    <n v="27.313745565600001"/>
    <m/>
    <m/>
    <m/>
  </r>
  <r>
    <x v="17"/>
    <x v="58"/>
    <s v="Multilateral"/>
    <n v="220000000"/>
    <s v="Government of Pakistan"/>
    <m/>
    <m/>
    <x v="355"/>
    <s v="https://ijglobal.com/data/transaction/31998/jamshoro-coal-fired-power-plant-expansion-1200mw"/>
    <x v="3"/>
    <x v="5"/>
    <x v="19"/>
    <s v="Sindh province"/>
    <s v="80/20 blend of imported sub-bituminous coal and domestic lignite"/>
    <m/>
    <m/>
    <x v="0"/>
    <s v="Coal Power Plant - New"/>
    <s v="Financing"/>
    <n v="600"/>
    <n v="0.68284363914000001"/>
    <n v="27.313745565600001"/>
    <m/>
    <m/>
    <m/>
  </r>
  <r>
    <x v="17"/>
    <x v="59"/>
    <s v="Multilateral"/>
    <m/>
    <m/>
    <m/>
    <m/>
    <x v="356"/>
    <s v="http://spectrum.ieee.org/energywise/energy/policy/the-numbers-dont-add-up-for-kosovos-coal-plant"/>
    <x v="3"/>
    <x v="3"/>
    <x v="65"/>
    <m/>
    <m/>
    <m/>
    <m/>
    <x v="0"/>
    <m/>
    <s v="Financing"/>
    <m/>
    <n v="0"/>
    <n v="0"/>
    <m/>
    <m/>
    <m/>
  </r>
  <r>
    <x v="17"/>
    <x v="56"/>
    <s v="Multilateral"/>
    <n v="0"/>
    <s v="GDF Suez, Sojitz, POSCO and Newcom"/>
    <m/>
    <m/>
    <x v="315"/>
    <s v="https://www.adb.org/projects/46915-014/main#project-pds"/>
    <x v="3"/>
    <x v="8"/>
    <x v="38"/>
    <m/>
    <s v="The financing will be used for the construction of the CHP5 coal fired combined heat and power plant in Mongolia's capital, Ulaanbaatar. GDF Suez (30%), Sojitz(30%), POSCO(30%) and Newcom(10%) are the sponsors of the project.  The Central Region Electricity Transmission Company will be the offtaker for the power under a 25-year PPA, while the Central Region Electricity Transmission Company will purchase the heat. The total cost of the project is estimated at $1.2billion The operations are expected to begin in 2017._x000a__x000a_Only the financers are known at this point. The specific amounts are unknown. "/>
    <s v="https://ijglobal.com/data/transaction/31251/ulaanbaatar-chp5-power-plant"/>
    <m/>
    <x v="0"/>
    <s v="Coal Power Plant - New"/>
    <s v="Financing"/>
    <n v="115.875"/>
    <n v="0.1318741778089125"/>
    <n v="5.2749671123565003"/>
    <m/>
    <m/>
    <m/>
  </r>
  <r>
    <x v="17"/>
    <x v="3"/>
    <s v="Multilateral"/>
    <n v="0"/>
    <s v="GDF Suez, Sojitz, POSCO and Newcom"/>
    <m/>
    <m/>
    <x v="315"/>
    <s v="https://www.adb.org/projects/46915-014/main#project-pds"/>
    <x v="3"/>
    <x v="8"/>
    <x v="38"/>
    <m/>
    <s v="The financing will be used for the construction of the CHP5 coal fired combined heat and power plant in Mongolia's capital, Ulaanbaatar. GDF Suez (30%), Sojitz(30%), POSCO(30%) and Newcom(10%) are the sponsors of the project.  The Central Region Electricity Transmission Company will be the offtaker for the power under a 25-year PPA, while the Central Region Electricity Transmission Company will purchase the heat. The total cost of the project is estimated at $1.2billion The operations are expected to begin in 2017._x000a_EBRD RESPONSE; No decision/approval "/>
    <s v="https://ijglobal.com/data/transaction/31251/ulaanbaatar-chp5-power-plant"/>
    <m/>
    <x v="0"/>
    <s v="Coal Power Plant - New"/>
    <s v="Financing"/>
    <n v="115.875"/>
    <n v="0.1318741778089125"/>
    <n v="5.2749671123565003"/>
    <m/>
    <m/>
    <m/>
  </r>
  <r>
    <x v="17"/>
    <x v="56"/>
    <s v="Multilateral"/>
    <m/>
    <m/>
    <m/>
    <m/>
    <x v="315"/>
    <s v="https://www.adb.org/projects/46915-014/main"/>
    <x v="3"/>
    <x v="8"/>
    <x v="38"/>
    <m/>
    <m/>
    <m/>
    <m/>
    <x v="0"/>
    <s v="Coal Power Plant - New"/>
    <s v="Financing"/>
    <n v="463.5"/>
    <n v="0.52749671123565001"/>
    <n v="21.099868449426001"/>
    <m/>
    <m/>
    <m/>
  </r>
  <r>
    <x v="17"/>
    <x v="0"/>
    <s v="Multilateral"/>
    <m/>
    <s v="ACWA Power"/>
    <m/>
    <m/>
    <x v="357"/>
    <m/>
    <x v="3"/>
    <x v="0"/>
    <x v="40"/>
    <m/>
    <s v="The total finance amount is $500000000; total power plant size is 300 MW._x000a__x000a_Hasn't been decided eventually who will finance the project. Current candidates include KEXIM and African Development Bank. For the purpose of our calculation, the total finance and power plant size are evenly divided among KEXIM and African Development Bank, each with $250000000. _x000a__x000a_African Development Bank's finance are divided among its members based on their shares in the bank. The power plant size and emission responsible of African Development Bank are divided evenly among its members. "/>
    <m/>
    <m/>
    <x v="0"/>
    <s v="Coal Power Plant - New"/>
    <s v="Financing"/>
    <n v="150"/>
    <n v="0.170710909785"/>
    <n v="6.8284363914000004"/>
    <m/>
    <m/>
    <m/>
  </r>
  <r>
    <x v="17"/>
    <x v="57"/>
    <s v="Multilateral"/>
    <n v="28000000"/>
    <s v="Oyu Tolgoi, LLC"/>
    <m/>
    <m/>
    <x v="358"/>
    <s v="https://ifcndd.ifc.org/ifcext/spiwebsite1.nsf/78e3b305216fcdba85257a8b0075079d/f31022fd70f070f785257a62005d3f59?opendocument"/>
    <x v="157"/>
    <x v="8"/>
    <x v="38"/>
    <m/>
    <s v="IFC's  investment is a $400 million senior A Loan together with a B Loan of up to $600 million loan to be syndicated to international commercial banks, as part of a proposed $4billion project debt financing. The total project cost $7.1 billion. The coal plant cost $500 million, representing 7% of project costs. Amount included is $400 mil *.07 = $28,000,000_x000a__x000a_This project differs from the institution's list of projects. Primary areas of disagreement are on 1) policy loans that included coal components, 2) private sector financing to projects or companies that include coal components orrely on coal power and 3) financing to financial intermediaries that have a heavy emphasis on supporting coal. _x000a__x000a_Bank Response:Not a coal power plant. IFC financing is on hold. If it goes ahead, it would support the copper and gold mine. If the sponsor Rio Tinto decides to build a power plant at an associated facility, IFC would require Rio to ascertain all possible alternatives to coal for such a power plant."/>
    <m/>
    <m/>
    <x v="1"/>
    <s v="Coal - Policy"/>
    <s v="Financial Close"/>
    <n v="750"/>
    <n v="0.85355454892500016"/>
    <n v="34.142181957000005"/>
    <m/>
    <m/>
    <m/>
  </r>
  <r>
    <x v="17"/>
    <x v="55"/>
    <s v="Multilateral"/>
    <n v="12100000"/>
    <s v="Government of Mozambique "/>
    <m/>
    <m/>
    <x v="359"/>
    <s v="http://www.ebrd.com/work-with-us/projects/psd/mak.html"/>
    <x v="158"/>
    <x v="0"/>
    <x v="40"/>
    <m/>
    <s v="Total Loan: $110 mil As stated on the World Bank website under 'Details' - 'Sectors': Other Mining and Extractive Industries 22% The government is currently revising the mining and petroleum legislation, supported by this PRSC series. Given focus on coal mining, 11% counted for coal mining regulations.Coal mining extensively referenced in project documents _x000a__x000a_Bank Response: Among other things, this DPL supported Mozambique becoming EITI compliant and improving mining sector laws. Included a trigger for coverage of the legal framework managing mining and petroleum activities."/>
    <s v="_x000a__x000a_http://www-wds.worldbank.org/external/default/WDSContentServer/WDSP/IB/2013/06/26/000356161_20130626114537/Rendered/PDF/751170PGD0P131010Box0377356B0OUO090.pdf_x000a_http://www-wds.worldbank.org/external/default/WDSContentServer/WDSP/IB/2013/06/13/000001843_20130618125021/Rendered/PDF/PID000Appraisal0Stage000MZ0PRSC9.pdf"/>
    <m/>
    <x v="1"/>
    <s v="Coal - Policy"/>
    <s v="Financial Close"/>
    <m/>
    <n v="0"/>
    <n v="0"/>
    <m/>
    <m/>
    <s v="Yes"/>
  </r>
  <r>
    <x v="17"/>
    <x v="55"/>
    <s v="Multilateral"/>
    <n v="200000000"/>
    <s v="Government of Pakistan"/>
    <m/>
    <m/>
    <x v="360"/>
    <s v="http://www.ebrd.com/work-with-us/projects/psd/mongolia-mining-corporation.html"/>
    <x v="156"/>
    <x v="5"/>
    <x v="19"/>
    <m/>
    <s v="Total Financing - IDA ($600.0 m.). As stated on the World Bank website under 'Details' - 'Sectors':General energy - 100%. Power sector development strategy anticipates an increase in coal projects. Project finance amount split evenly between three power sources listed in program document (coal, hydro, and natural gas). Amount listed is $600,000,000 *.33 = $200,000,000_x000a__x000a_This project differs from the institution's list of projects. Primary areas of disagreement are on 1) policy loans that included coal components, 2) private sector financing to projects or companies that include coal components orrely on coal power and 3) financing to financial intermediaries that have a heavy emphasis on supporting coal. _x000a__x000a_Bank Response: This is not a “coal policy loan”. The reform program is helping set the power sector on a more environmentally sustainable path.  From 2019, there will be a shift towards hydropower and natural gas in the generation mix. One coal plant at Jamshoro is expected to enter service. It will be financed by ADB."/>
    <s v="http://www-wds.worldbank.org/external/default/WDSContentServer/WDSP/IB/2014/04/11/000442464_20140411094222/Rendered/PDF/860310PGD0P128000Box385177B00OUO090.pdf"/>
    <m/>
    <x v="1"/>
    <s v="Coal - Policy"/>
    <s v="Financial Close"/>
    <m/>
    <n v="0"/>
    <n v="0"/>
    <m/>
    <m/>
    <m/>
  </r>
  <r>
    <x v="17"/>
    <x v="0"/>
    <s v="Multilateral"/>
    <m/>
    <s v="Vale and Mitsui"/>
    <m/>
    <m/>
    <x v="330"/>
    <s v="http://www.jbic.go.jp/en/efforts/environment/projects/51455"/>
    <x v="3"/>
    <x v="0"/>
    <x v="40"/>
    <m/>
    <s v="The Project’s total cost is expected to be around US$5 billion (of which about US$2.7 billion will be financed by senior debt). IFC is considering investing up to US$200 million as an A Loan together with US$65 million from SAFE, China under the Managed Co-lending Portfolio Program_x000a_The proposed investment consists of the project for the construction and operation of a 912 km long railway line (greenfield as well as brownfield) extending from the Tete region in north-west Mozambique through Malawi to a greenfield deep sea coal terminal in Nacala-a-Velha on the north east coast of Mozambique (the “Nacala Corridor Project”). The project will enable evacuation and export of the coal produced by the Moatize coal mine operated by Vale Moçambique, a large Brazilian mining conglomerate, in the Tete region of Mozambique."/>
    <s v="http://www.afdb.org/fileadmin/uploads/afdb/Documents/Project-and-Operations/Project_Brief_Nacala_Rail___Port__Project__Multinational_2015.pdf_x000a_https://ijglobal.com/data/transaction/31942/nacala-railway-corridor-912km"/>
    <m/>
    <x v="1"/>
    <s v="Rail and Port"/>
    <s v="Financing"/>
    <n v="0"/>
    <n v="0"/>
    <n v="0"/>
    <m/>
    <m/>
    <m/>
  </r>
  <r>
    <x v="17"/>
    <x v="57"/>
    <s v="Multilateral"/>
    <m/>
    <s v="Vale and Mitsui"/>
    <m/>
    <m/>
    <x v="330"/>
    <s v="https://disclosures.ifc.org/#/projectDetailESRS/8582"/>
    <x v="3"/>
    <x v="0"/>
    <x v="40"/>
    <m/>
    <s v="The Project’s total cost is expected to be around US$5 billion (of which about US$2.7 billion will be financed by senior debt). IFC is considering investing up to US$200 million as an A Loan together with US$65 million from SAFE, China under the Managed Co-lending Portfolio Program_x000a_The proposed investment consists of the project for the construction and operation of a 912 km long railway line (greenfield as well as brownfield) extending from the Tete region in north-west Mozambique through Malawi to a greenfield deep sea coal terminal in Nacala-a-Velha on the north east coast of Mozambique (the “Nacala Corridor Project”). The project will enable evacuation and export of the coal produced by the Moatize coal mine operated by Vale Moçambique, a large Brazilian mining conglomerate, in the Tete region of Mozambique."/>
    <s v="http://www.afdb.org/fileadmin/uploads/afdb/Documents/Project-and-Operations/Project_Brief_Nacala_Rail___Port__Project__Multinational_2015.pdf_x000a_https://ijglobal.com/data/transaction/31942/nacala-railway-corridor-912km"/>
    <m/>
    <x v="1"/>
    <s v="Coal - Transport"/>
    <s v="Financing"/>
    <m/>
    <n v="0"/>
    <n v="0"/>
    <m/>
    <m/>
    <m/>
  </r>
  <r>
    <x v="17"/>
    <x v="60"/>
    <s v="Multilateral"/>
    <n v="665000000"/>
    <m/>
    <m/>
    <m/>
    <x v="361"/>
    <s v="https://ijglobal.com/data/transaction/31176/enbw-baltic-2-wind-farm-288mw"/>
    <x v="159"/>
    <x v="3"/>
    <x v="13"/>
    <m/>
    <m/>
    <m/>
    <m/>
    <x v="3"/>
    <s v="Offshore Wind"/>
    <s v="Financial Close"/>
    <n v="288"/>
    <n v="0.32776494678719997"/>
    <n v="13.110597871487998"/>
    <m/>
    <n v="288"/>
    <m/>
  </r>
  <r>
    <x v="17"/>
    <x v="60"/>
    <s v="Multilateral"/>
    <n v="404870000"/>
    <m/>
    <m/>
    <m/>
    <x v="161"/>
    <s v="https://ijglobal.com/data/transaction/19680/butendiek-offshore-wind-financing-288mw"/>
    <x v="51"/>
    <x v="3"/>
    <x v="13"/>
    <m/>
    <m/>
    <m/>
    <m/>
    <x v="3"/>
    <s v="Offshore Wind"/>
    <s v="Financial Close"/>
    <n v="144"/>
    <n v="0.16388247339359999"/>
    <n v="6.5552989357439992"/>
    <m/>
    <n v="144"/>
    <m/>
  </r>
  <r>
    <x v="17"/>
    <x v="60"/>
    <s v="Multilateral"/>
    <n v="203250000"/>
    <m/>
    <m/>
    <m/>
    <x v="161"/>
    <s v="https://ijglobal.com/data/transaction/19680/butendiek-offshore-wind-financing-288mw"/>
    <x v="51"/>
    <x v="3"/>
    <x v="13"/>
    <m/>
    <m/>
    <m/>
    <m/>
    <x v="3"/>
    <s v="Offshore Wind"/>
    <s v="Financial Close"/>
    <n v="144"/>
    <n v="0.16388247339359999"/>
    <n v="6.5552989357439992"/>
    <m/>
    <n v="144"/>
    <m/>
  </r>
  <r>
    <x v="17"/>
    <x v="56"/>
    <s v="Multilateral"/>
    <n v="35000000"/>
    <s v="Solarco"/>
    <m/>
    <m/>
    <x v="362"/>
    <s v="https://ijglobal.com/data/transaction/26301/solarco-pv-plants-financing-57mw"/>
    <x v="160"/>
    <x v="6"/>
    <x v="45"/>
    <m/>
    <m/>
    <m/>
    <m/>
    <x v="3"/>
    <s v="Photovoltaic Solar"/>
    <s v="Financial Close"/>
    <n v="57"/>
    <n v="6.4870145718300007E-2"/>
    <n v="2.5948058287320004"/>
    <m/>
    <n v="57"/>
    <m/>
  </r>
  <r>
    <x v="17"/>
    <x v="56"/>
    <s v="Multilateral"/>
    <n v="33180000"/>
    <s v=" Foundation Wind Energy II Limited"/>
    <m/>
    <m/>
    <x v="363"/>
    <s v="https://ijglobal.com/data/transaction/25213/foundation-wind-energy-wind-farm-ii-50mw"/>
    <x v="161"/>
    <x v="5"/>
    <x v="19"/>
    <m/>
    <m/>
    <m/>
    <m/>
    <x v="3"/>
    <s v="Onshore Wind"/>
    <s v="Financial Close"/>
    <n v="25"/>
    <n v="2.8451818297500001E-2"/>
    <n v="1.1380727318999999"/>
    <m/>
    <n v="25"/>
    <m/>
  </r>
  <r>
    <x v="17"/>
    <x v="61"/>
    <s v="Multilateral"/>
    <n v="39600000"/>
    <m/>
    <m/>
    <m/>
    <x v="364"/>
    <s v="https://ijglobal.com/data/transaction/25629/palmatir-wind-financing-50mw"/>
    <x v="162"/>
    <x v="4"/>
    <x v="16"/>
    <m/>
    <m/>
    <m/>
    <m/>
    <x v="3"/>
    <s v="Onshore Wind"/>
    <s v="Financial Close"/>
    <n v="25"/>
    <n v="2.8451818297500001E-2"/>
    <n v="1.1380727318999999"/>
    <m/>
    <n v="25"/>
    <m/>
  </r>
  <r>
    <x v="17"/>
    <x v="57"/>
    <s v="Multilateral"/>
    <n v="25000000"/>
    <m/>
    <m/>
    <m/>
    <x v="347"/>
    <s v="https://ijglobal.com/data/transaction/27744/aura-solar-pv-financing-368mw"/>
    <x v="149"/>
    <x v="4"/>
    <x v="76"/>
    <m/>
    <m/>
    <m/>
    <m/>
    <x v="3"/>
    <s v="Photovoltaic Solar"/>
    <s v="Financial Close"/>
    <n v="36.799999999999997"/>
    <n v="4.1881076533920002E-2"/>
    <n v="1.6752430613568001"/>
    <m/>
    <n v="36.799999999999997"/>
    <m/>
  </r>
  <r>
    <x v="17"/>
    <x v="56"/>
    <s v="Multilateral"/>
    <n v="30000000"/>
    <s v="Bangchak Solar Energy"/>
    <m/>
    <m/>
    <x v="365"/>
    <s v="https://ijglobal.com/data/transaction/28602/bangchak-solar-pv-16mw"/>
    <x v="163"/>
    <x v="6"/>
    <x v="45"/>
    <m/>
    <m/>
    <m/>
    <m/>
    <x v="3"/>
    <s v="Photovoltaic Solar"/>
    <s v="Financial Close"/>
    <n v="16"/>
    <n v="1.82091637104E-2"/>
    <n v="0.72836654841600001"/>
    <m/>
    <n v="16"/>
    <m/>
  </r>
  <r>
    <x v="17"/>
    <x v="57"/>
    <s v="Multilateral"/>
    <n v="164150000"/>
    <m/>
    <m/>
    <m/>
    <x v="366"/>
    <s v="https://ijglobal.com/data/transaction/26514/amakhala-emoyeni-phase-1-wind-farm-financing-1344mw"/>
    <x v="164"/>
    <x v="0"/>
    <x v="1"/>
    <m/>
    <m/>
    <m/>
    <m/>
    <x v="3"/>
    <s v="Onshore Wind"/>
    <s v="Financial Close"/>
    <n v="134.4"/>
    <n v="0.15295697516736001"/>
    <n v="6.1182790066944008"/>
    <m/>
    <n v="134.4"/>
    <m/>
  </r>
  <r>
    <x v="17"/>
    <x v="0"/>
    <s v="Multilateral"/>
    <n v="236000000"/>
    <m/>
    <m/>
    <m/>
    <x v="183"/>
    <s v="https://ijglobal.com/data/transaction/21380/ouarzazate-thermal-solar-ipp-noor-phase-i-160mw"/>
    <x v="66"/>
    <x v="7"/>
    <x v="21"/>
    <m/>
    <m/>
    <m/>
    <m/>
    <x v="3"/>
    <s v="Photovoltaic Solar,Thermal Solar"/>
    <s v="Financial Close"/>
    <n v="26.666666666666668"/>
    <n v="3.0348606183999999E-2"/>
    <n v="1.21394424736"/>
    <m/>
    <n v="26.666666666666668"/>
    <m/>
  </r>
  <r>
    <x v="17"/>
    <x v="62"/>
    <s v="Multilateral"/>
    <n v="100000000"/>
    <m/>
    <m/>
    <m/>
    <x v="183"/>
    <s v="https://ijglobal.com/data/transaction/21380/ouarzazate-thermal-solar-ipp-noor-phase-i-160mw"/>
    <x v="66"/>
    <x v="7"/>
    <x v="21"/>
    <m/>
    <m/>
    <m/>
    <m/>
    <x v="3"/>
    <s v="Photovoltaic Solar,Thermal Solar"/>
    <s v="Financial Close"/>
    <n v="26.666666666666668"/>
    <n v="3.0348606183999999E-2"/>
    <n v="1.21394424736"/>
    <m/>
    <n v="26.666666666666668"/>
    <m/>
  </r>
  <r>
    <x v="17"/>
    <x v="60"/>
    <s v="Multilateral"/>
    <n v="156000000"/>
    <m/>
    <m/>
    <m/>
    <x v="183"/>
    <s v="https://ijglobal.com/data/transaction/21380/ouarzazate-thermal-solar-ipp-noor-phase-i-160mw"/>
    <x v="66"/>
    <x v="7"/>
    <x v="21"/>
    <m/>
    <m/>
    <m/>
    <m/>
    <x v="3"/>
    <s v="Photovoltaic Solar,Thermal Solar"/>
    <s v="Financial Close"/>
    <n v="26.666666666666668"/>
    <n v="3.0348606183999999E-2"/>
    <n v="1.21394424736"/>
    <m/>
    <n v="26.666666666666668"/>
    <m/>
  </r>
  <r>
    <x v="17"/>
    <x v="59"/>
    <s v="Multilateral"/>
    <n v="200000000"/>
    <m/>
    <m/>
    <m/>
    <x v="183"/>
    <s v="https://ijglobal.com/data/transaction/21380/ouarzazate-thermal-solar-ipp-noor-phase-i-160mw"/>
    <x v="66"/>
    <x v="7"/>
    <x v="21"/>
    <m/>
    <m/>
    <m/>
    <m/>
    <x v="3"/>
    <s v="Photovoltaic Solar,Thermal Solar"/>
    <s v="Financial Close"/>
    <n v="26.666666666666668"/>
    <n v="3.0348606183999999E-2"/>
    <n v="1.21394424736"/>
    <m/>
    <n v="26.666666666666668"/>
    <m/>
  </r>
  <r>
    <x v="17"/>
    <x v="3"/>
    <s v="Multilateral"/>
    <n v="78000000"/>
    <m/>
    <m/>
    <m/>
    <x v="367"/>
    <s v="https://ijglobal.com/data/transaction/28945/pepsa-wind-farms-portfolio-1035mw"/>
    <x v="165"/>
    <x v="3"/>
    <x v="78"/>
    <m/>
    <m/>
    <m/>
    <m/>
    <x v="3"/>
    <s v="Onshore Wind"/>
    <s v="Financial Close"/>
    <n v="51.75"/>
    <n v="5.8895263875825006E-2"/>
    <n v="2.3558105550330004"/>
    <m/>
    <n v="51.75"/>
    <m/>
  </r>
  <r>
    <x v="17"/>
    <x v="3"/>
    <s v="Multilateral"/>
    <n v="16000000"/>
    <m/>
    <m/>
    <m/>
    <x v="367"/>
    <s v="https://ijglobal.com/data/transaction/28945/pepsa-wind-farms-portfolio-1035mw"/>
    <x v="165"/>
    <x v="3"/>
    <x v="78"/>
    <m/>
    <m/>
    <m/>
    <m/>
    <x v="3"/>
    <s v="Onshore Wind"/>
    <s v="Financial Close"/>
    <n v="51.75"/>
    <n v="5.8895263875825006E-2"/>
    <n v="2.3558105550330004"/>
    <m/>
    <n v="51.75"/>
    <m/>
  </r>
  <r>
    <x v="17"/>
    <x v="57"/>
    <s v="Multilateral"/>
    <n v="19740000"/>
    <m/>
    <m/>
    <m/>
    <x v="368"/>
    <s v="https://ijglobal.com/data/transaction/28067/jelinak-wind-farm-financing-30mw"/>
    <x v="166"/>
    <x v="3"/>
    <x v="62"/>
    <m/>
    <m/>
    <m/>
    <m/>
    <x v="3"/>
    <s v="Onshore Wind"/>
    <s v="Financial Close"/>
    <n v="30"/>
    <n v="3.4142181957000008E-2"/>
    <n v="1.3656872782800002"/>
    <m/>
    <n v="30"/>
    <m/>
  </r>
  <r>
    <x v="17"/>
    <x v="56"/>
    <s v="Multilateral"/>
    <n v="33430000"/>
    <s v="Fauji Foundation, Fauji Fertlizer Bin Qasim Limited, and Islamic Infrastructure Fund"/>
    <m/>
    <m/>
    <x v="369"/>
    <s v="https://ijglobal.com/data/transaction/25212/foundation-wind-energy-wind-farm-i-50mw"/>
    <x v="167"/>
    <x v="5"/>
    <x v="19"/>
    <m/>
    <m/>
    <m/>
    <m/>
    <x v="3"/>
    <s v="Onshore Wind"/>
    <s v="Financial Close"/>
    <n v="16.666666666666668"/>
    <n v="1.8967878864999999E-2"/>
    <n v="0.75871515459999994"/>
    <m/>
    <n v="16.666666666666668"/>
    <m/>
  </r>
  <r>
    <x v="17"/>
    <x v="61"/>
    <s v="Multilateral"/>
    <n v="20700000"/>
    <m/>
    <m/>
    <m/>
    <x v="14"/>
    <s v="https://ijglobal.com/data/transaction/27761/pozo-almonte-and-calama-solar-financing-261mw"/>
    <x v="11"/>
    <x v="4"/>
    <x v="10"/>
    <m/>
    <m/>
    <m/>
    <m/>
    <x v="3"/>
    <s v="Photovoltaic Solar"/>
    <s v="Financial Close"/>
    <n v="13.05"/>
    <n v="1.4851849151294999E-2"/>
    <n v="0.59407396605179996"/>
    <m/>
    <n v="13.05"/>
    <m/>
  </r>
  <r>
    <x v="17"/>
    <x v="57"/>
    <s v="Multilateral"/>
    <n v="65000000"/>
    <m/>
    <m/>
    <m/>
    <x v="370"/>
    <s v="https://ijglobal.com/data/transaction/27878/amanecer-solar-cap-plant-financing-100mw"/>
    <x v="25"/>
    <x v="4"/>
    <x v="10"/>
    <m/>
    <m/>
    <m/>
    <m/>
    <x v="3"/>
    <s v="Photovoltaic Solar"/>
    <s v="Financial Close"/>
    <n v="50"/>
    <n v="5.6903636595000001E-2"/>
    <n v="2.2761454637999998"/>
    <m/>
    <n v="50"/>
    <m/>
  </r>
  <r>
    <x v="17"/>
    <x v="57"/>
    <s v="Multilateral"/>
    <n v="9300000"/>
    <m/>
    <m/>
    <m/>
    <x v="255"/>
    <s v="https://ijglobal.com/data/transaction/27790/la-huayca-ii-solar-pv-financing-291mw"/>
    <x v="90"/>
    <x v="4"/>
    <x v="10"/>
    <m/>
    <m/>
    <m/>
    <m/>
    <x v="3"/>
    <s v="Photovoltaic Solar"/>
    <s v="Financial Close"/>
    <n v="9.7000000000000011"/>
    <n v="1.1039305499430002E-2"/>
    <n v="0.44157221997720009"/>
    <m/>
    <n v="9.7000000000000011"/>
    <m/>
  </r>
  <r>
    <x v="17"/>
    <x v="57"/>
    <s v="Multilateral"/>
    <n v="5000000"/>
    <m/>
    <m/>
    <m/>
    <x v="255"/>
    <s v="https://ijglobal.com/data/transaction/27790/la-huayca-ii-solar-pv-financing-291mw"/>
    <x v="90"/>
    <x v="4"/>
    <x v="10"/>
    <m/>
    <m/>
    <m/>
    <m/>
    <x v="3"/>
    <s v="Photovoltaic Solar"/>
    <s v="Financial Close"/>
    <n v="9.7000000000000011"/>
    <n v="1.1039305499430002E-2"/>
    <n v="0.44157221997720009"/>
    <m/>
    <n v="9.7000000000000011"/>
    <m/>
  </r>
  <r>
    <x v="17"/>
    <x v="60"/>
    <s v="Multilateral"/>
    <n v="70350000"/>
    <m/>
    <m/>
    <m/>
    <x v="331"/>
    <s v="https://ijglobal.com/data/transaction/28105/ice-costa-rica-geothermal-portfolio-155mw"/>
    <x v="136"/>
    <x v="4"/>
    <x v="58"/>
    <m/>
    <m/>
    <m/>
    <m/>
    <x v="3"/>
    <s v="Geothermal"/>
    <s v="Financial Close"/>
    <n v="77.5"/>
    <n v="8.8200636722250009E-2"/>
    <n v="3.5280254688900001"/>
    <m/>
    <n v="77.5"/>
    <m/>
  </r>
  <r>
    <x v="17"/>
    <x v="60"/>
    <s v="Multilateral"/>
    <n v="72240000"/>
    <m/>
    <m/>
    <m/>
    <x v="371"/>
    <s v="https://ijglobal.com/data/transaction/28137/tafila-wind-farm-financing-117mw"/>
    <x v="168"/>
    <x v="7"/>
    <x v="56"/>
    <m/>
    <m/>
    <m/>
    <m/>
    <x v="3"/>
    <s v="Onshore Wind"/>
    <s v="Financial Close"/>
    <n v="29.25"/>
    <n v="3.3288627408074999E-2"/>
    <n v="1.331545096323"/>
    <m/>
    <n v="29.25"/>
    <m/>
  </r>
  <r>
    <x v="17"/>
    <x v="57"/>
    <s v="Multilateral"/>
    <n v="54730000"/>
    <m/>
    <m/>
    <m/>
    <x v="371"/>
    <s v="https://ijglobal.com/data/transaction/28137/tafila-wind-farm-financing-117mw"/>
    <x v="168"/>
    <x v="7"/>
    <x v="56"/>
    <m/>
    <m/>
    <m/>
    <m/>
    <x v="3"/>
    <s v="Onshore Wind"/>
    <s v="Financial Close"/>
    <n v="29.25"/>
    <n v="3.3288627408074999E-2"/>
    <n v="1.331545096323"/>
    <m/>
    <n v="29.25"/>
    <m/>
  </r>
  <r>
    <x v="17"/>
    <x v="57"/>
    <s v="Multilateral"/>
    <n v="30000000"/>
    <m/>
    <m/>
    <m/>
    <x v="371"/>
    <s v="https://ijglobal.com/data/transaction/28137/tafila-wind-farm-financing-117mw"/>
    <x v="168"/>
    <x v="7"/>
    <x v="56"/>
    <m/>
    <m/>
    <m/>
    <m/>
    <x v="3"/>
    <s v="Onshore Wind"/>
    <s v="Financial Close"/>
    <n v="29.25"/>
    <n v="3.3288627408074999E-2"/>
    <n v="1.331545096323"/>
    <m/>
    <n v="29.25"/>
    <m/>
  </r>
  <r>
    <x v="17"/>
    <x v="57"/>
    <s v="Multilateral"/>
    <n v="14360000"/>
    <m/>
    <m/>
    <m/>
    <x v="371"/>
    <s v="https://ijglobal.com/data/transaction/28137/tafila-wind-farm-financing-117mw"/>
    <x v="168"/>
    <x v="7"/>
    <x v="56"/>
    <m/>
    <m/>
    <m/>
    <m/>
    <x v="3"/>
    <s v="Onshore Wind"/>
    <s v="Financial Close"/>
    <n v="29.25"/>
    <n v="3.3288627408074999E-2"/>
    <n v="1.331545096323"/>
    <m/>
    <n v="29.25"/>
    <m/>
  </r>
  <r>
    <x v="17"/>
    <x v="3"/>
    <s v="Multilateral"/>
    <n v="99000000"/>
    <m/>
    <m/>
    <m/>
    <x v="372"/>
    <s v="https://ijglobal.com/data/transaction/28190/palowo-wind-farm-phase-1-financing-795mw"/>
    <x v="78"/>
    <x v="3"/>
    <x v="78"/>
    <m/>
    <m/>
    <m/>
    <m/>
    <x v="3"/>
    <s v="Onshore Wind"/>
    <s v="Financial Close"/>
    <n v="79.5"/>
    <n v="9.047678218605E-2"/>
    <n v="3.6190712874419999"/>
    <m/>
    <n v="79.5"/>
    <m/>
  </r>
  <r>
    <x v="17"/>
    <x v="3"/>
    <s v="Multilateral"/>
    <n v="30330000"/>
    <m/>
    <m/>
    <m/>
    <x v="373"/>
    <s v="https://ijglobal.com/data/transaction/28452/orla-wind-farm-phase-1-225mw"/>
    <x v="169"/>
    <x v="3"/>
    <x v="78"/>
    <m/>
    <m/>
    <m/>
    <m/>
    <x v="3"/>
    <s v="Onshore Wind"/>
    <s v="Financial Close"/>
    <n v="22.5"/>
    <n v="2.5606636467750001E-2"/>
    <n v="1.02426545871"/>
    <m/>
    <n v="22.5"/>
    <m/>
  </r>
  <r>
    <x v="17"/>
    <x v="60"/>
    <s v="Multilateral"/>
    <n v="204580000"/>
    <m/>
    <m/>
    <m/>
    <x v="257"/>
    <s v="https://ijglobal.com/data/transaction/28471/nop-agrowind-farm-195mw"/>
    <x v="92"/>
    <x v="3"/>
    <x v="11"/>
    <m/>
    <m/>
    <m/>
    <m/>
    <x v="3"/>
    <s v="Onshore Wind"/>
    <s v="Financial Close"/>
    <n v="97.5"/>
    <n v="0.11096209136025001"/>
    <n v="4.4384836544100006"/>
    <m/>
    <n v="97.5"/>
    <m/>
  </r>
  <r>
    <x v="17"/>
    <x v="57"/>
    <s v="Multilateral"/>
    <n v="0"/>
    <m/>
    <m/>
    <m/>
    <x v="374"/>
    <s v="https://ijglobal.com/data/transaction/31665/surajbari-wind-farms-project-170mw"/>
    <x v="170"/>
    <x v="5"/>
    <x v="50"/>
    <s v="Madhya Pradesh"/>
    <m/>
    <m/>
    <m/>
    <x v="3"/>
    <s v="Onshore Wind"/>
    <s v="Financial Close"/>
    <m/>
    <n v="0"/>
    <n v="0"/>
    <m/>
    <m/>
    <m/>
  </r>
  <r>
    <x v="17"/>
    <x v="57"/>
    <s v="Multilateral"/>
    <n v="43930000"/>
    <m/>
    <m/>
    <m/>
    <x v="374"/>
    <s v="https://ijglobal.com/data/transaction/31665/surajbari-wind-farms-project-170mw"/>
    <x v="170"/>
    <x v="5"/>
    <x v="50"/>
    <s v="Madhya Pradesh"/>
    <m/>
    <m/>
    <m/>
    <x v="3"/>
    <s v="Onshore Wind"/>
    <s v="Financial Close"/>
    <m/>
    <n v="0"/>
    <n v="0"/>
    <m/>
    <m/>
    <m/>
  </r>
  <r>
    <x v="17"/>
    <x v="63"/>
    <s v="Other Public Financer"/>
    <n v="13820000"/>
    <m/>
    <m/>
    <m/>
    <x v="375"/>
    <s v="https://ijglobal.com/data/transaction/30921/edpr-solar-pv-portfolio-50mw"/>
    <x v="171"/>
    <x v="3"/>
    <x v="42"/>
    <m/>
    <m/>
    <m/>
    <m/>
    <x v="3"/>
    <s v="Photovoltaic Solar"/>
    <s v="Financial Close"/>
    <n v="50"/>
    <n v="5.6903636595000001E-2"/>
    <n v="2.2761454637999998"/>
    <m/>
    <n v="50"/>
    <m/>
  </r>
  <r>
    <x v="17"/>
    <x v="63"/>
    <s v="Other Public Financer"/>
    <n v="6910000"/>
    <m/>
    <m/>
    <m/>
    <x v="375"/>
    <s v="https://ijglobal.com/data/transaction/30921/edpr-solar-pv-portfolio-50mw"/>
    <x v="171"/>
    <x v="3"/>
    <x v="42"/>
    <m/>
    <m/>
    <m/>
    <m/>
    <x v="3"/>
    <s v="Photovoltaic Solar"/>
    <s v="Financial Close"/>
    <m/>
    <n v="0"/>
    <n v="0"/>
    <m/>
    <m/>
    <m/>
  </r>
  <r>
    <x v="17"/>
    <x v="3"/>
    <s v="Multilateral"/>
    <n v="13820000"/>
    <m/>
    <m/>
    <m/>
    <x v="375"/>
    <s v="https://ijglobal.com/data/transaction/30921/edpr-solar-pv-portfolio-50mw"/>
    <x v="171"/>
    <x v="3"/>
    <x v="42"/>
    <m/>
    <m/>
    <m/>
    <m/>
    <x v="3"/>
    <s v="Photovoltaic Solar"/>
    <s v="Financial Close"/>
    <n v="25"/>
    <n v="2.8451818297500001E-2"/>
    <n v="1.1380727318999999"/>
    <m/>
    <n v="25"/>
    <m/>
  </r>
  <r>
    <x v="17"/>
    <x v="3"/>
    <s v="Multilateral"/>
    <n v="6910000"/>
    <m/>
    <m/>
    <m/>
    <x v="375"/>
    <s v="https://ijglobal.com/data/transaction/30921/edpr-solar-pv-portfolio-50mw"/>
    <x v="171"/>
    <x v="3"/>
    <x v="42"/>
    <m/>
    <m/>
    <m/>
    <m/>
    <x v="3"/>
    <s v="Photovoltaic Solar"/>
    <s v="Financial Close"/>
    <n v="25"/>
    <n v="2.8451818297500001E-2"/>
    <n v="1.1380727318999999"/>
    <m/>
    <n v="25"/>
    <m/>
  </r>
  <r>
    <x v="17"/>
    <x v="57"/>
    <s v="Multilateral"/>
    <n v="37500000"/>
    <m/>
    <m/>
    <m/>
    <x v="376"/>
    <s v="https://ijglobal.com/data/transaction/28101/san-andres-solar-pv-plant-507mw"/>
    <x v="172"/>
    <x v="4"/>
    <x v="10"/>
    <m/>
    <m/>
    <m/>
    <m/>
    <x v="3"/>
    <s v="Photovoltaic Solar"/>
    <s v="Financial Close"/>
    <n v="25.35"/>
    <n v="2.8850143753665007E-2"/>
    <n v="1.1540057501466003"/>
    <m/>
    <n v="25.35"/>
    <m/>
  </r>
  <r>
    <x v="17"/>
    <x v="60"/>
    <s v="Multilateral"/>
    <n v="808970000"/>
    <m/>
    <m/>
    <m/>
    <x v="15"/>
    <s v="https://ijglobal.com/data/transaction/28178/gemini-offshore-wind-farm-600mw"/>
    <x v="12"/>
    <x v="3"/>
    <x v="11"/>
    <m/>
    <m/>
    <m/>
    <m/>
    <x v="3"/>
    <s v="Offshore Wind"/>
    <s v="Financial Close"/>
    <n v="200"/>
    <n v="0.22761454638"/>
    <n v="9.1045818551999993"/>
    <m/>
    <n v="200"/>
    <m/>
  </r>
  <r>
    <x v="17"/>
    <x v="56"/>
    <s v="Multilateral"/>
    <n v="100000000"/>
    <s v="Sarulla Operations LTD (SOL)"/>
    <m/>
    <m/>
    <x v="333"/>
    <s v="https://ijglobal.com/data/transaction/16783/sarulla-geothermal-plant-330mw"/>
    <x v="138"/>
    <x v="6"/>
    <x v="20"/>
    <m/>
    <m/>
    <m/>
    <m/>
    <x v="3"/>
    <s v="Geothermal"/>
    <s v="Financial Close"/>
    <n v="20.625"/>
    <n v="2.3472750095437502E-2"/>
    <n v="0.93891000381750012"/>
    <m/>
    <n v="20.625"/>
    <m/>
  </r>
  <r>
    <x v="17"/>
    <x v="56"/>
    <s v="Multilateral"/>
    <n v="250000000"/>
    <s v="Sarulla Operations LTD (SOL)"/>
    <m/>
    <m/>
    <x v="333"/>
    <s v="https://ijglobal.com/data/transaction/16783/sarulla-geothermal-plant-330mw"/>
    <x v="138"/>
    <x v="6"/>
    <x v="20"/>
    <m/>
    <m/>
    <m/>
    <m/>
    <x v="3"/>
    <s v="Geothermal"/>
    <s v="Financial Close"/>
    <n v="20.625"/>
    <n v="2.3472750095437502E-2"/>
    <n v="0.93891000381750012"/>
    <m/>
    <n v="20.625"/>
    <m/>
  </r>
  <r>
    <x v="17"/>
    <x v="7"/>
    <s v="Multilateral"/>
    <n v="20000000"/>
    <s v="Sarulla Operations LTD (SOL)"/>
    <m/>
    <m/>
    <x v="333"/>
    <s v="https://ijglobal.com/data/transaction/16783/sarulla-geothermal-plant-330mw"/>
    <x v="138"/>
    <x v="6"/>
    <x v="20"/>
    <m/>
    <m/>
    <m/>
    <m/>
    <x v="3"/>
    <s v="Geothermal"/>
    <s v="Financial Close"/>
    <n v="20.625"/>
    <n v="2.3472750095437502E-2"/>
    <n v="0.93891000381750012"/>
    <m/>
    <n v="20.625"/>
    <m/>
  </r>
  <r>
    <x v="17"/>
    <x v="3"/>
    <s v="Multilateral"/>
    <n v="51700000"/>
    <m/>
    <m/>
    <m/>
    <x v="377"/>
    <s v="https://ijglobal.com/data/transaction/30732/topolog-dorobantu-wind-farm-84mw"/>
    <x v="173"/>
    <x v="3"/>
    <x v="42"/>
    <m/>
    <m/>
    <m/>
    <m/>
    <x v="3"/>
    <s v="Onshore Wind"/>
    <s v="Financial Close"/>
    <n v="84"/>
    <n v="9.5598109479599999E-2"/>
    <n v="3.8239243791840001"/>
    <m/>
    <n v="84"/>
    <m/>
  </r>
  <r>
    <x v="17"/>
    <x v="3"/>
    <s v="Multilateral"/>
    <n v="67300000"/>
    <m/>
    <m/>
    <m/>
    <x v="378"/>
    <s v="https://ijglobal.com/data/transaction/28689/crucea-north-wind-farm-108mw"/>
    <x v="174"/>
    <x v="3"/>
    <x v="42"/>
    <m/>
    <m/>
    <m/>
    <m/>
    <x v="3"/>
    <s v="Onshore Wind"/>
    <s v="Financial Close"/>
    <n v="108"/>
    <n v="0.1229118550452"/>
    <n v="4.9164742018079997"/>
    <m/>
    <n v="108"/>
    <m/>
  </r>
  <r>
    <x v="17"/>
    <x v="60"/>
    <s v="Multilateral"/>
    <n v="204270000"/>
    <m/>
    <m/>
    <m/>
    <x v="379"/>
    <s v="https://ijglobal.com/data/transaction/32842/megalim-solar-thermal-plant-121mw"/>
    <x v="175"/>
    <x v="7"/>
    <x v="60"/>
    <m/>
    <m/>
    <m/>
    <m/>
    <x v="3"/>
    <s v="Thermal Solar"/>
    <s v="Financial Close"/>
    <n v="121"/>
    <n v="0.13770680055990001"/>
    <n v="5.5082720223960004"/>
    <m/>
    <n v="121"/>
    <m/>
  </r>
  <r>
    <x v="17"/>
    <x v="60"/>
    <s v="Multilateral"/>
    <n v="205000000"/>
    <m/>
    <m/>
    <m/>
    <x v="380"/>
    <s v="https://ijglobal.com/data/transaction/25895/ashelim-solar-thermal-plant-121mw"/>
    <x v="94"/>
    <x v="7"/>
    <x v="60"/>
    <m/>
    <m/>
    <m/>
    <m/>
    <x v="3"/>
    <s v="Thermal Solar"/>
    <s v="Financial Close"/>
    <n v="121"/>
    <n v="0.13770680055990001"/>
    <n v="5.5082720223960004"/>
    <m/>
    <n v="121"/>
    <m/>
  </r>
  <r>
    <x v="17"/>
    <x v="60"/>
    <s v="Multilateral"/>
    <n v="95060000"/>
    <m/>
    <m/>
    <m/>
    <x v="381"/>
    <s v="https://ijglobal.com/data/transaction/31018/tauron-distribution-network-upgrade-2014"/>
    <x v="176"/>
    <x v="3"/>
    <x v="78"/>
    <m/>
    <m/>
    <m/>
    <m/>
    <x v="3"/>
    <s v="Small Hydro,Transmission &amp; Distribution"/>
    <s v="Financial Close"/>
    <m/>
    <n v="0"/>
    <n v="0"/>
    <m/>
    <m/>
    <m/>
  </r>
  <r>
    <x v="17"/>
    <x v="57"/>
    <s v="Multilateral"/>
    <n v="200000000"/>
    <m/>
    <m/>
    <m/>
    <x v="382"/>
    <s v="https://ijglobal.com/data/transaction/27977/enel-wind-brazil-portfolio-342mw"/>
    <x v="177"/>
    <x v="4"/>
    <x v="29"/>
    <s v="Bahia,Pernambuco,Rio Grande do Norte"/>
    <m/>
    <m/>
    <m/>
    <x v="3"/>
    <s v="Onshore Wind"/>
    <s v="Financial Close"/>
    <n v="342"/>
    <n v="0.38922087430980001"/>
    <n v="15.568834972392001"/>
    <m/>
    <n v="342"/>
    <m/>
  </r>
  <r>
    <x v="17"/>
    <x v="57"/>
    <s v="Multilateral"/>
    <n v="24830000"/>
    <m/>
    <m/>
    <m/>
    <x v="383"/>
    <s v="https://ijglobal.com/data/transaction/31763/rudine-wind-power-plant-342mw"/>
    <x v="178"/>
    <x v="3"/>
    <x v="62"/>
    <m/>
    <m/>
    <m/>
    <m/>
    <x v="3"/>
    <s v="Onshore Wind"/>
    <s v="Financial Close"/>
    <n v="34.200000000000003"/>
    <n v="3.892208743098001E-2"/>
    <n v="1.5568834972392005"/>
    <m/>
    <n v="34.200000000000003"/>
    <m/>
  </r>
  <r>
    <x v="17"/>
    <x v="56"/>
    <s v="Multilateral"/>
    <n v="16670000.000000002"/>
    <s v="PT Supreme Energy Rantau Dedap"/>
    <m/>
    <m/>
    <x v="335"/>
    <s v="https://ijglobal.com/data/transaction/22449/rantau-dedap-geothermal-ipp-220mw"/>
    <x v="140"/>
    <x v="6"/>
    <x v="20"/>
    <m/>
    <m/>
    <m/>
    <m/>
    <x v="3"/>
    <s v="Geothermal"/>
    <s v="Financial Close"/>
    <n v="110"/>
    <n v="0.12518800050899997"/>
    <n v="5.0075200203599994"/>
    <m/>
    <n v="110"/>
    <m/>
  </r>
  <r>
    <x v="17"/>
    <x v="57"/>
    <s v="Multilateral"/>
    <n v="60000000"/>
    <m/>
    <m/>
    <m/>
    <x v="384"/>
    <s v="https://ijglobal.com/data/transaction/30476/luz-del-norte-solar-pv-plant-141mw"/>
    <x v="179"/>
    <x v="4"/>
    <x v="10"/>
    <m/>
    <m/>
    <m/>
    <m/>
    <x v="3"/>
    <s v="Photovoltaic Solar"/>
    <s v="Financial Close"/>
    <n v="70.5"/>
    <n v="8.0234127598950003E-2"/>
    <n v="3.209365103958"/>
    <m/>
    <n v="70.5"/>
    <m/>
  </r>
  <r>
    <x v="17"/>
    <x v="57"/>
    <s v="Multilateral"/>
    <n v="7500000"/>
    <m/>
    <m/>
    <m/>
    <x v="175"/>
    <s v="https://ijglobal.com/data/transaction/30939/shamsuna-solar-pv-plant-10mw"/>
    <x v="59"/>
    <x v="7"/>
    <x v="56"/>
    <m/>
    <m/>
    <m/>
    <m/>
    <x v="3"/>
    <s v="Photovoltaic Solar"/>
    <s v="Financial Close"/>
    <n v="10"/>
    <n v="1.1380727318999998E-2"/>
    <n v="0.45522909275999995"/>
    <m/>
    <n v="10"/>
    <m/>
  </r>
  <r>
    <x v="17"/>
    <x v="3"/>
    <s v="Multilateral"/>
    <n v="24000000"/>
    <m/>
    <m/>
    <m/>
    <x v="184"/>
    <s v="https://ijglobal.com/data/transaction/31139/ejre-solar-pv-plant-20mw"/>
    <x v="67"/>
    <x v="7"/>
    <x v="56"/>
    <m/>
    <m/>
    <m/>
    <m/>
    <x v="3"/>
    <s v="Photovoltaic Solar"/>
    <s v="Financial Close"/>
    <n v="20"/>
    <n v="2.2761454637999997E-2"/>
    <n v="0.91045818551999991"/>
    <m/>
    <n v="20"/>
    <m/>
  </r>
  <r>
    <x v="17"/>
    <x v="3"/>
    <s v="Multilateral"/>
    <n v="13000000"/>
    <m/>
    <m/>
    <m/>
    <x v="185"/>
    <s v="https://ijglobal.com/data/transaction/31137/green-land-solar-pv-plant-10mw"/>
    <x v="67"/>
    <x v="7"/>
    <x v="56"/>
    <m/>
    <m/>
    <m/>
    <m/>
    <x v="3"/>
    <s v="Photovoltaic Solar"/>
    <s v="Financial Close"/>
    <n v="10"/>
    <n v="1.1380727318999998E-2"/>
    <n v="0.45522909275999995"/>
    <m/>
    <n v="10"/>
    <m/>
  </r>
  <r>
    <x v="17"/>
    <x v="3"/>
    <s v="Multilateral"/>
    <n v="13000000"/>
    <m/>
    <m/>
    <m/>
    <x v="186"/>
    <s v="https://ijglobal.com/data/transaction/31136/oryx-solar-pv-plant-10mw"/>
    <x v="67"/>
    <x v="7"/>
    <x v="56"/>
    <m/>
    <m/>
    <m/>
    <m/>
    <x v="3"/>
    <s v="Photovoltaic Solar"/>
    <s v="Financial Close"/>
    <n v="10"/>
    <n v="1.1380727318999998E-2"/>
    <n v="0.45522909275999995"/>
    <m/>
    <n v="10"/>
    <m/>
  </r>
  <r>
    <x v="17"/>
    <x v="3"/>
    <s v="Multilateral"/>
    <n v="42910000"/>
    <m/>
    <m/>
    <m/>
    <x v="385"/>
    <s v="https://ijglobal.com/data/transaction/33114/skurpie-wind-farm-phase-ii-financing-2014-368mw"/>
    <x v="180"/>
    <x v="3"/>
    <x v="78"/>
    <m/>
    <m/>
    <m/>
    <m/>
    <x v="3"/>
    <s v="Onshore Wind"/>
    <s v="Financial Close"/>
    <n v="36.799999999999997"/>
    <n v="4.1881076533920002E-2"/>
    <n v="1.6752430613568001"/>
    <m/>
    <n v="36.799999999999997"/>
    <m/>
  </r>
  <r>
    <x v="17"/>
    <x v="0"/>
    <s v="Multilateral"/>
    <n v="6200000"/>
    <m/>
    <m/>
    <m/>
    <x v="187"/>
    <s v="https://ijglobal.com/data/transaction/20234/lake-turkana-wind-farm-300mw"/>
    <x v="68"/>
    <x v="0"/>
    <x v="49"/>
    <m/>
    <m/>
    <m/>
    <m/>
    <x v="3"/>
    <s v="Onshore Wind"/>
    <s v="Financial Close"/>
    <n v="75"/>
    <n v="8.5355454892500002E-2"/>
    <n v="3.4142181957000002"/>
    <m/>
    <n v="75"/>
    <m/>
  </r>
  <r>
    <x v="17"/>
    <x v="0"/>
    <s v="Multilateral"/>
    <n v="167540000"/>
    <m/>
    <m/>
    <m/>
    <x v="187"/>
    <s v="https://ijglobal.com/data/transaction/20234/lake-turkana-wind-farm-300mw"/>
    <x v="68"/>
    <x v="0"/>
    <x v="49"/>
    <m/>
    <m/>
    <m/>
    <m/>
    <x v="3"/>
    <s v="Onshore Wind"/>
    <s v="Financial Close"/>
    <n v="75"/>
    <n v="8.5355454892500002E-2"/>
    <n v="3.4142181957000002"/>
    <m/>
    <n v="75"/>
    <m/>
  </r>
  <r>
    <x v="17"/>
    <x v="60"/>
    <s v="Multilateral"/>
    <n v="248200000"/>
    <m/>
    <m/>
    <m/>
    <x v="187"/>
    <s v="https://ijglobal.com/data/transaction/20234/lake-turkana-wind-farm-300mw"/>
    <x v="68"/>
    <x v="0"/>
    <x v="49"/>
    <m/>
    <m/>
    <m/>
    <m/>
    <x v="3"/>
    <s v="Onshore Wind"/>
    <s v="Financial Close"/>
    <n v="75"/>
    <n v="8.5355454892500002E-2"/>
    <n v="3.4142181957000002"/>
    <m/>
    <n v="75"/>
    <m/>
  </r>
  <r>
    <x v="17"/>
    <x v="57"/>
    <s v="Multilateral"/>
    <n v="20000000"/>
    <m/>
    <m/>
    <m/>
    <x v="386"/>
    <s v="https://ijglobal.com/data/transaction/31205/pacifico-solar-programme-817mw"/>
    <x v="28"/>
    <x v="4"/>
    <x v="7"/>
    <m/>
    <m/>
    <m/>
    <m/>
    <x v="3"/>
    <s v="Photovoltaic Solar"/>
    <s v="Financial Close"/>
    <n v="40.85"/>
    <n v="4.6490271098115002E-2"/>
    <n v="1.8596108439246"/>
    <m/>
    <n v="40.85"/>
    <m/>
  </r>
  <r>
    <x v="17"/>
    <x v="57"/>
    <s v="Multilateral"/>
    <n v="65500000"/>
    <m/>
    <m/>
    <m/>
    <x v="386"/>
    <s v="https://ijglobal.com/data/transaction/31205/pacifico-solar-programme-817mw"/>
    <x v="28"/>
    <x v="4"/>
    <x v="7"/>
    <m/>
    <m/>
    <m/>
    <m/>
    <x v="3"/>
    <s v="Photovoltaic Solar"/>
    <s v="Financial Close"/>
    <n v="40.85"/>
    <n v="4.6490271098115002E-2"/>
    <n v="1.8596108439246"/>
    <m/>
    <n v="40.85"/>
    <m/>
  </r>
  <r>
    <x v="17"/>
    <x v="57"/>
    <s v="Multilateral"/>
    <n v="80000000"/>
    <m/>
    <m/>
    <m/>
    <x v="10"/>
    <s v="https://ijglobal.com/data/transaction/28135/penonome-ii-wind-farm-215mw"/>
    <x v="8"/>
    <x v="4"/>
    <x v="6"/>
    <m/>
    <m/>
    <m/>
    <m/>
    <x v="3"/>
    <s v="Onshore Wind"/>
    <s v="Financial Close"/>
    <n v="71.666666666666671"/>
    <n v="8.1561879119500011E-2"/>
    <n v="3.2624751647800005"/>
    <m/>
    <n v="71.666666666666671"/>
    <m/>
  </r>
  <r>
    <x v="17"/>
    <x v="57"/>
    <s v="Multilateral"/>
    <n v="16000000"/>
    <m/>
    <m/>
    <m/>
    <x v="10"/>
    <s v="https://ijglobal.com/data/transaction/28135/penonome-ii-wind-farm-215mw"/>
    <x v="8"/>
    <x v="4"/>
    <x v="6"/>
    <m/>
    <m/>
    <m/>
    <m/>
    <x v="3"/>
    <s v="Onshore Wind"/>
    <s v="Financial Close"/>
    <n v="71.666666666666671"/>
    <n v="8.1561879119500011E-2"/>
    <n v="3.2624751647800005"/>
    <m/>
    <n v="71.666666666666671"/>
    <m/>
  </r>
  <r>
    <x v="17"/>
    <x v="57"/>
    <s v="Multilateral"/>
    <n v="60000000"/>
    <m/>
    <m/>
    <m/>
    <x v="10"/>
    <s v="https://ijglobal.com/data/transaction/28135/penonome-ii-wind-farm-215mw"/>
    <x v="8"/>
    <x v="4"/>
    <x v="6"/>
    <m/>
    <m/>
    <m/>
    <m/>
    <x v="3"/>
    <s v="Onshore Wind"/>
    <s v="Financial Close"/>
    <n v="71.666666666666671"/>
    <n v="8.1561879119500011E-2"/>
    <n v="3.2624751647800005"/>
    <m/>
    <n v="71.666666666666671"/>
    <m/>
  </r>
  <r>
    <x v="17"/>
    <x v="60"/>
    <s v="Multilateral"/>
    <n v="278350000"/>
    <m/>
    <m/>
    <m/>
    <x v="387"/>
    <s v="https://ijglobal.com/data/transaction/31178/enbw-baltic-2-wind-farm-additional-facility-288mw"/>
    <x v="30"/>
    <x v="3"/>
    <x v="13"/>
    <m/>
    <m/>
    <m/>
    <m/>
    <x v="3"/>
    <s v="Offshore Wind"/>
    <s v="Financial Close"/>
    <n v="288"/>
    <n v="0.32776494678719997"/>
    <n v="13.110597871487998"/>
    <m/>
    <n v="288"/>
    <m/>
  </r>
  <r>
    <x v="17"/>
    <x v="60"/>
    <s v="Multilateral"/>
    <n v="555000000"/>
    <m/>
    <m/>
    <m/>
    <x v="388"/>
    <s v="https://ijglobal.com/data/transaction/31125/sandbank-offshore-wind-project-288mw"/>
    <x v="30"/>
    <x v="3"/>
    <x v="13"/>
    <m/>
    <m/>
    <m/>
    <m/>
    <x v="3"/>
    <s v="Offshore Wind"/>
    <s v="Financial Close"/>
    <n v="288"/>
    <n v="0.32776494678719997"/>
    <n v="13.110597871487998"/>
    <m/>
    <n v="288"/>
    <m/>
  </r>
  <r>
    <x v="17"/>
    <x v="3"/>
    <s v="Multilateral"/>
    <n v="25000000"/>
    <m/>
    <m/>
    <m/>
    <x v="389"/>
    <s v="https://ijglobal.com/data/transaction/31894/sunedison-jordan-solar-pv-plant-238mw"/>
    <x v="181"/>
    <x v="7"/>
    <x v="56"/>
    <m/>
    <m/>
    <m/>
    <m/>
    <x v="3"/>
    <s v="Photovoltaic Solar"/>
    <s v="Financial Close"/>
    <n v="11.9"/>
    <n v="1.3543065509610002E-2"/>
    <n v="0.54172262038440011"/>
    <m/>
    <n v="11.9"/>
    <m/>
  </r>
  <r>
    <x v="17"/>
    <x v="56"/>
    <s v="Multilateral"/>
    <n v="55430000"/>
    <s v="Chaiyaphum Wind Farm Company"/>
    <m/>
    <m/>
    <x v="390"/>
    <s v="https://ijglobal.com/data/transaction/33117/chaiyaphum-wind-farm-ipp-81mw"/>
    <x v="125"/>
    <x v="6"/>
    <x v="45"/>
    <m/>
    <m/>
    <m/>
    <m/>
    <x v="3"/>
    <s v="Onshore Wind"/>
    <s v="Financial Close"/>
    <n v="20.5"/>
    <n v="2.3330491003950002E-2"/>
    <n v="0.93321964015800007"/>
    <m/>
    <n v="20.5"/>
    <m/>
  </r>
  <r>
    <x v="17"/>
    <x v="62"/>
    <s v="Multilateral"/>
    <n v="30000000"/>
    <s v="Chaiyaphum Wind Farm Company"/>
    <m/>
    <m/>
    <x v="390"/>
    <s v="https://ijglobal.com/data/transaction/33117/chaiyaphum-wind-farm-ipp-81mw"/>
    <x v="125"/>
    <x v="6"/>
    <x v="45"/>
    <m/>
    <m/>
    <m/>
    <m/>
    <x v="3"/>
    <s v="Onshore Wind"/>
    <s v="Financial Close"/>
    <n v="20.5"/>
    <n v="2.3330491003950002E-2"/>
    <n v="0.93321964015800007"/>
    <m/>
    <n v="20.5"/>
    <m/>
  </r>
  <r>
    <x v="17"/>
    <x v="57"/>
    <s v="Multilateral"/>
    <n v="10000000"/>
    <m/>
    <m/>
    <m/>
    <x v="391"/>
    <s v="https://ijglobal.com/data/transaction/30851/malvern-wind-farm-363mw"/>
    <x v="125"/>
    <x v="9"/>
    <x v="79"/>
    <m/>
    <m/>
    <m/>
    <m/>
    <x v="3"/>
    <s v="Onshore Wind"/>
    <s v="Financial Close"/>
    <n v="18.149999999999999"/>
    <n v="2.0656020083985E-2"/>
    <n v="0.82624080335939998"/>
    <m/>
    <n v="18.149999999999999"/>
    <m/>
  </r>
  <r>
    <x v="17"/>
    <x v="64"/>
    <s v="Other Public Financer"/>
    <n v="6000000"/>
    <m/>
    <m/>
    <m/>
    <x v="189"/>
    <s v="https://ijglobal.com/data/transaction/32026/marcona-wind-farm-321mw"/>
    <x v="69"/>
    <x v="4"/>
    <x v="57"/>
    <m/>
    <m/>
    <m/>
    <m/>
    <x v="3"/>
    <s v="Onshore Wind"/>
    <s v="Financial Close"/>
    <n v="10.700000000000001"/>
    <n v="1.2177378231330003E-2"/>
    <n v="0.48709512925320009"/>
    <m/>
    <n v="10.700000000000001"/>
    <m/>
  </r>
  <r>
    <x v="17"/>
    <x v="64"/>
    <s v="Other Public Financer"/>
    <n v="14000000"/>
    <m/>
    <m/>
    <m/>
    <x v="190"/>
    <s v="https://ijglobal.com/data/transaction/26112/tres-hermanas-wind-farm-9715mw"/>
    <x v="69"/>
    <x v="4"/>
    <x v="57"/>
    <m/>
    <m/>
    <m/>
    <m/>
    <x v="3"/>
    <s v="Onshore Wind"/>
    <s v="Financial Close"/>
    <n v="32.383333333333333"/>
    <n v="3.6854588634695006E-2"/>
    <n v="1.4741835453878003"/>
    <m/>
    <n v="32.383333333333333"/>
    <m/>
  </r>
  <r>
    <x v="17"/>
    <x v="57"/>
    <s v="Multilateral"/>
    <n v="11250000"/>
    <s v="Metro Power Company Limited"/>
    <m/>
    <m/>
    <x v="392"/>
    <s v="https://ijglobal.com/data/transaction/35427/metro-wind-farm-50mw"/>
    <x v="182"/>
    <x v="5"/>
    <x v="19"/>
    <m/>
    <m/>
    <m/>
    <m/>
    <x v="3"/>
    <s v="Onshore Wind"/>
    <s v="Financial Close"/>
    <m/>
    <n v="0"/>
    <n v="0"/>
    <m/>
    <m/>
    <m/>
  </r>
  <r>
    <x v="17"/>
    <x v="57"/>
    <s v="Multilateral"/>
    <n v="22000000"/>
    <s v="Tenaga Generasi Limited"/>
    <m/>
    <m/>
    <x v="393"/>
    <s v="https://ijglobal.com/data/transaction/33648/khuti-kun-wind-farm-495mw"/>
    <x v="183"/>
    <x v="5"/>
    <x v="19"/>
    <m/>
    <m/>
    <m/>
    <m/>
    <x v="3"/>
    <s v="Onshore Wind"/>
    <s v="Financial Close"/>
    <n v="24.75"/>
    <n v="2.8167300114525003E-2"/>
    <n v="1.1266920045810001"/>
    <m/>
    <n v="24.75"/>
    <m/>
  </r>
  <r>
    <x v="17"/>
    <x v="0"/>
    <s v="Multilateral"/>
    <n v="39380000"/>
    <m/>
    <m/>
    <m/>
    <x v="394"/>
    <s v="https://ijglobal.com/data/transaction/30340/xina-solar-one-ppp-100mw"/>
    <x v="184"/>
    <x v="0"/>
    <x v="1"/>
    <m/>
    <m/>
    <m/>
    <m/>
    <x v="3"/>
    <s v="Thermal Solar"/>
    <s v="Financial Close"/>
    <n v="20"/>
    <n v="2.2761454637999997E-2"/>
    <n v="0.91045818551999991"/>
    <m/>
    <n v="20"/>
    <m/>
  </r>
  <r>
    <x v="17"/>
    <x v="0"/>
    <s v="Multilateral"/>
    <n v="74560000"/>
    <m/>
    <m/>
    <m/>
    <x v="394"/>
    <s v="https://ijglobal.com/data/transaction/30340/xina-solar-one-ppp-100mw"/>
    <x v="184"/>
    <x v="0"/>
    <x v="1"/>
    <m/>
    <m/>
    <m/>
    <m/>
    <x v="3"/>
    <s v="Thermal Solar"/>
    <s v="Financial Close"/>
    <n v="20"/>
    <n v="2.2761454637999997E-2"/>
    <n v="0.91045818551999991"/>
    <m/>
    <n v="20"/>
    <m/>
  </r>
  <r>
    <x v="17"/>
    <x v="57"/>
    <s v="Multilateral"/>
    <n v="36600000"/>
    <m/>
    <m/>
    <m/>
    <x v="394"/>
    <s v="https://ijglobal.com/data/transaction/30340/xina-solar-one-ppp-100mw"/>
    <x v="184"/>
    <x v="0"/>
    <x v="1"/>
    <m/>
    <m/>
    <m/>
    <m/>
    <x v="3"/>
    <s v="Thermal Solar"/>
    <s v="Financial Close"/>
    <n v="20"/>
    <n v="2.2761454637999997E-2"/>
    <n v="0.91045818551999991"/>
    <m/>
    <n v="20"/>
    <m/>
  </r>
  <r>
    <x v="17"/>
    <x v="57"/>
    <s v="Multilateral"/>
    <n v="25000000"/>
    <m/>
    <m/>
    <m/>
    <x v="264"/>
    <s v="https://ijglobal.com/data/transaction/32469/aura-ii-solar-pv-plant-61mw"/>
    <x v="99"/>
    <x v="4"/>
    <x v="7"/>
    <m/>
    <m/>
    <m/>
    <m/>
    <x v="3"/>
    <s v="Photovoltaic Solar"/>
    <s v="Financial Close"/>
    <n v="20.333333333333332"/>
    <n v="2.3140812215300004E-2"/>
    <n v="0.9256324886120002"/>
    <m/>
    <n v="20.333333333333332"/>
    <m/>
  </r>
  <r>
    <x v="17"/>
    <x v="57"/>
    <s v="Multilateral"/>
    <n v="12130000"/>
    <s v="Gul Ahmed Wind Power Limited"/>
    <m/>
    <m/>
    <x v="191"/>
    <s v="https://ijglobal.com/data/transaction/32340/gul-ahmed-wind-power-plant-50mw"/>
    <x v="70"/>
    <x v="5"/>
    <x v="19"/>
    <m/>
    <m/>
    <m/>
    <m/>
    <x v="3"/>
    <s v="Onshore Wind"/>
    <s v="Financial Close"/>
    <n v="7.1428571428571432"/>
    <n v="8.1290909421428571E-3"/>
    <n v="0.32516363768571427"/>
    <m/>
    <n v="7.1428571428571432"/>
    <m/>
  </r>
  <r>
    <x v="17"/>
    <x v="57"/>
    <s v="Multilateral"/>
    <n v="3870000"/>
    <s v="Gul Ahmed Wind Power Limited"/>
    <m/>
    <m/>
    <x v="191"/>
    <s v="https://ijglobal.com/data/transaction/32340/gul-ahmed-wind-power-plant-50mw"/>
    <x v="70"/>
    <x v="5"/>
    <x v="19"/>
    <m/>
    <m/>
    <m/>
    <m/>
    <x v="3"/>
    <s v="Onshore Wind"/>
    <s v="Financial Close"/>
    <n v="7.1428571428571432"/>
    <n v="8.1290909421428571E-3"/>
    <n v="0.32516363768571427"/>
    <m/>
    <n v="7.1428571428571432"/>
    <m/>
  </r>
  <r>
    <x v="17"/>
    <x v="57"/>
    <s v="Multilateral"/>
    <n v="10500000"/>
    <m/>
    <m/>
    <m/>
    <x v="176"/>
    <s v="https://ijglobal.com/data/transaction/30941/arabia-one-solar-pv-plant-10mw"/>
    <x v="60"/>
    <x v="7"/>
    <x v="56"/>
    <m/>
    <m/>
    <m/>
    <m/>
    <x v="3"/>
    <s v="Photovoltaic Solar"/>
    <s v="Financial Close"/>
    <n v="10"/>
    <n v="1.1380727318999998E-2"/>
    <n v="0.45522909275999995"/>
    <m/>
    <n v="10"/>
    <m/>
  </r>
  <r>
    <x v="17"/>
    <x v="57"/>
    <s v="Multilateral"/>
    <n v="13100000"/>
    <m/>
    <m/>
    <m/>
    <x v="177"/>
    <s v="https://ijglobal.com/data/transaction/30940/falcon-solar-pv-plant-21mw"/>
    <x v="61"/>
    <x v="7"/>
    <x v="56"/>
    <m/>
    <m/>
    <m/>
    <m/>
    <x v="3"/>
    <s v="Photovoltaic Solar"/>
    <s v="Financial Close"/>
    <n v="21"/>
    <n v="2.38995273699E-2"/>
    <n v="0.95598109479600002"/>
    <m/>
    <n v="21"/>
    <m/>
  </r>
  <r>
    <x v="17"/>
    <x v="0"/>
    <s v="Multilateral"/>
    <n v="128100000"/>
    <m/>
    <m/>
    <m/>
    <x v="192"/>
    <s v="https://ijglobal.com/data/transaction/28128/noor-ii-concentrated-solar-power-csp-plant-200mw"/>
    <x v="62"/>
    <x v="7"/>
    <x v="21"/>
    <m/>
    <m/>
    <m/>
    <m/>
    <x v="3"/>
    <s v="Thermal Solar"/>
    <s v="Financial Close"/>
    <n v="33.333333333333336"/>
    <n v="3.7935757729999998E-2"/>
    <n v="1.5174303091999999"/>
    <m/>
    <n v="33.333333333333336"/>
    <m/>
  </r>
  <r>
    <x v="17"/>
    <x v="0"/>
    <s v="Multilateral"/>
    <n v="88100000"/>
    <m/>
    <m/>
    <m/>
    <x v="193"/>
    <s v="https://ijglobal.com/data/transaction/28129/noor-iii-concentrated-solar-power-csp-plant-150mw"/>
    <x v="62"/>
    <x v="7"/>
    <x v="21"/>
    <m/>
    <m/>
    <m/>
    <m/>
    <x v="3"/>
    <s v="Thermal Solar"/>
    <s v="Financial Close"/>
    <n v="25"/>
    <n v="2.8451818297500001E-2"/>
    <n v="1.1380727318999999"/>
    <m/>
    <n v="25"/>
    <m/>
  </r>
  <r>
    <x v="17"/>
    <x v="62"/>
    <s v="Multilateral"/>
    <n v="59500000"/>
    <m/>
    <m/>
    <m/>
    <x v="192"/>
    <s v="https://ijglobal.com/data/transaction/28128/noor-ii-concentrated-solar-power-csp-plant-200mw"/>
    <x v="62"/>
    <x v="7"/>
    <x v="21"/>
    <m/>
    <m/>
    <m/>
    <m/>
    <x v="3"/>
    <s v="Thermal Solar"/>
    <s v="Financial Close"/>
    <n v="33.333333333333336"/>
    <n v="3.7935757729999998E-2"/>
    <n v="1.5174303091999999"/>
    <m/>
    <n v="33.333333333333336"/>
    <m/>
  </r>
  <r>
    <x v="17"/>
    <x v="62"/>
    <s v="Multilateral"/>
    <n v="59500000"/>
    <m/>
    <m/>
    <m/>
    <x v="193"/>
    <s v="https://ijglobal.com/data/transaction/28129/noor-iii-concentrated-solar-power-csp-plant-150mw"/>
    <x v="62"/>
    <x v="7"/>
    <x v="21"/>
    <m/>
    <m/>
    <m/>
    <m/>
    <x v="3"/>
    <s v="Thermal Solar"/>
    <s v="Financial Close"/>
    <n v="25"/>
    <n v="2.8451818297500001E-2"/>
    <n v="1.1380727318999999"/>
    <m/>
    <n v="25"/>
    <m/>
  </r>
  <r>
    <x v="17"/>
    <x v="60"/>
    <s v="Multilateral"/>
    <n v="128100000"/>
    <m/>
    <m/>
    <m/>
    <x v="192"/>
    <s v="https://ijglobal.com/data/transaction/28128/noor-ii-concentrated-solar-power-csp-plant-200mw"/>
    <x v="62"/>
    <x v="7"/>
    <x v="21"/>
    <m/>
    <m/>
    <m/>
    <m/>
    <x v="3"/>
    <s v="Thermal Solar"/>
    <s v="Financial Close"/>
    <n v="33.333333333333336"/>
    <n v="3.7935757729999998E-2"/>
    <n v="1.5174303091999999"/>
    <m/>
    <n v="33.333333333333336"/>
    <m/>
  </r>
  <r>
    <x v="17"/>
    <x v="60"/>
    <s v="Multilateral"/>
    <n v="88100000"/>
    <m/>
    <m/>
    <m/>
    <x v="193"/>
    <s v="https://ijglobal.com/data/transaction/28129/noor-iii-concentrated-solar-power-csp-plant-150mw"/>
    <x v="62"/>
    <x v="7"/>
    <x v="21"/>
    <m/>
    <m/>
    <m/>
    <m/>
    <x v="3"/>
    <s v="Thermal Solar"/>
    <s v="Financial Close"/>
    <n v="25"/>
    <n v="2.8451818297500001E-2"/>
    <n v="1.1380727318999999"/>
    <m/>
    <n v="25"/>
    <m/>
  </r>
  <r>
    <x v="17"/>
    <x v="57"/>
    <s v="Multilateral"/>
    <n v="33000000"/>
    <m/>
    <m/>
    <m/>
    <x v="178"/>
    <s v="https://ijglobal.com/data/transaction/30942/adenium-energy-capital-solar-pv-portfolio-30mw"/>
    <x v="62"/>
    <x v="7"/>
    <x v="56"/>
    <m/>
    <m/>
    <m/>
    <m/>
    <x v="3"/>
    <s v="Photovoltaic Solar"/>
    <s v="Financial Close"/>
    <n v="30"/>
    <n v="3.4142181957000008E-2"/>
    <n v="1.3656872782800002"/>
    <m/>
    <n v="30"/>
    <m/>
  </r>
  <r>
    <x v="17"/>
    <x v="57"/>
    <s v="Multilateral"/>
    <n v="22500000"/>
    <m/>
    <m/>
    <m/>
    <x v="179"/>
    <s v="https://ijglobal.com/data/transaction/31059/jordan-solar-one-pv-plant-20mw"/>
    <x v="62"/>
    <x v="7"/>
    <x v="56"/>
    <m/>
    <m/>
    <m/>
    <m/>
    <x v="3"/>
    <s v="Photovoltaic Solar"/>
    <s v="Financial Close"/>
    <n v="20"/>
    <n v="2.2761454637999997E-2"/>
    <n v="0.91045818551999991"/>
    <m/>
    <n v="20"/>
    <m/>
  </r>
  <r>
    <x v="17"/>
    <x v="59"/>
    <s v="Multilateral"/>
    <n v="200000000"/>
    <m/>
    <m/>
    <m/>
    <x v="192"/>
    <s v="https://ijglobal.com/data/transaction/28128/noor-ii-concentrated-solar-power-csp-plant-200mw"/>
    <x v="62"/>
    <x v="7"/>
    <x v="21"/>
    <m/>
    <m/>
    <m/>
    <m/>
    <x v="3"/>
    <s v="Thermal Solar"/>
    <s v="Financial Close"/>
    <n v="33.333333333333336"/>
    <n v="3.7935757729999998E-2"/>
    <n v="1.5174303091999999"/>
    <m/>
    <n v="33.333333333333336"/>
    <m/>
  </r>
  <r>
    <x v="17"/>
    <x v="59"/>
    <s v="Multilateral"/>
    <n v="200000000"/>
    <m/>
    <m/>
    <m/>
    <x v="193"/>
    <s v="https://ijglobal.com/data/transaction/28129/noor-iii-concentrated-solar-power-csp-plant-150mw"/>
    <x v="62"/>
    <x v="7"/>
    <x v="21"/>
    <m/>
    <m/>
    <m/>
    <m/>
    <x v="3"/>
    <s v="Thermal Solar"/>
    <s v="Financial Close"/>
    <n v="25"/>
    <n v="2.8451818297500001E-2"/>
    <n v="1.1380727318999999"/>
    <m/>
    <n v="25"/>
    <m/>
  </r>
  <r>
    <x v="17"/>
    <x v="60"/>
    <s v="Multilateral"/>
    <n v="175760000"/>
    <m/>
    <m/>
    <m/>
    <x v="395"/>
    <s v="https://ijglobal.com/data/transaction/31981/nordergruende-offshore-wind-farm-111mw"/>
    <x v="185"/>
    <x v="3"/>
    <x v="13"/>
    <m/>
    <m/>
    <m/>
    <m/>
    <x v="3"/>
    <s v="Offshore Wind"/>
    <s v="Financial Close"/>
    <n v="111"/>
    <n v="0.12632607324090001"/>
    <n v="5.0530429296359998"/>
    <m/>
    <n v="111"/>
    <m/>
  </r>
  <r>
    <x v="17"/>
    <x v="62"/>
    <s v="Multilateral"/>
    <n v="14550000"/>
    <s v="United Green, Samruk-Kazyna"/>
    <m/>
    <m/>
    <x v="396"/>
    <s v="https://ijglobal.com/data/transaction/34094/burnoye-solar"/>
    <x v="186"/>
    <x v="8"/>
    <x v="51"/>
    <s v="Zhambyl"/>
    <m/>
    <s v="https://ijglobal.com/articles/96680/ebrd-and-ctf-sign-kazakh-solar-financing"/>
    <m/>
    <x v="3"/>
    <s v="Photovoltaic Solar"/>
    <s v="Financial Close"/>
    <m/>
    <n v="0"/>
    <n v="0"/>
    <m/>
    <n v="12.5"/>
    <m/>
  </r>
  <r>
    <x v="17"/>
    <x v="3"/>
    <s v="Multilateral"/>
    <n v="78360000"/>
    <s v="United Green, Samruk-Kazyna"/>
    <m/>
    <m/>
    <x v="396"/>
    <s v="https://ijglobal.com/data/transaction/34094/burnoye-solar"/>
    <x v="186"/>
    <x v="8"/>
    <x v="51"/>
    <s v="Zhambyl"/>
    <m/>
    <s v="https://ijglobal.com/articles/96680/ebrd-and-ctf-sign-kazakh-solar-financing"/>
    <m/>
    <x v="3"/>
    <s v="Photovoltaic Solar"/>
    <s v="Financial Close"/>
    <m/>
    <n v="0"/>
    <n v="0"/>
    <m/>
    <n v="12.5"/>
    <m/>
  </r>
  <r>
    <x v="17"/>
    <x v="57"/>
    <s v="Multilateral"/>
    <n v="30000000"/>
    <m/>
    <m/>
    <m/>
    <x v="11"/>
    <s v="https://ijglobal.com/data/transaction/31794/valle-solar-pv-plant-70mw"/>
    <x v="9"/>
    <x v="4"/>
    <x v="7"/>
    <m/>
    <m/>
    <m/>
    <m/>
    <x v="3"/>
    <s v="Photovoltaic Solar"/>
    <s v="Financial Close"/>
    <n v="70"/>
    <n v="7.9665091233000015E-2"/>
    <n v="3.1866036493200007"/>
    <m/>
    <n v="70"/>
    <m/>
  </r>
  <r>
    <x v="17"/>
    <x v="3"/>
    <s v="Multilateral"/>
    <n v="200000000"/>
    <s v="Gürmat Elektrik Üretim A.Ş"/>
    <m/>
    <m/>
    <x v="397"/>
    <s v="https://ijglobal.com/data/transaction/32616/efeler-geothermal-project-170mw"/>
    <x v="55"/>
    <x v="3"/>
    <x v="46"/>
    <m/>
    <m/>
    <m/>
    <m/>
    <x v="3"/>
    <s v="Geothermal"/>
    <s v="Financial Close"/>
    <n v="170"/>
    <n v="0.19347236442300003"/>
    <n v="7.7388945769200017"/>
    <m/>
    <n v="170"/>
    <m/>
  </r>
  <r>
    <x v="17"/>
    <x v="3"/>
    <s v="Multilateral"/>
    <n v="13740000"/>
    <m/>
    <m/>
    <m/>
    <x v="398"/>
    <s v="https://ijglobal.com/data/transaction/32394/mycielin-wind-farm-48mw"/>
    <x v="187"/>
    <x v="3"/>
    <x v="78"/>
    <m/>
    <m/>
    <m/>
    <m/>
    <x v="3"/>
    <s v="Onshore Wind"/>
    <s v="Financial Close"/>
    <n v="24"/>
    <n v="2.7313745565599998E-2"/>
    <n v="1.092549822624"/>
    <m/>
    <n v="24"/>
    <m/>
  </r>
  <r>
    <x v="17"/>
    <x v="3"/>
    <s v="Multilateral"/>
    <n v="1690000"/>
    <m/>
    <m/>
    <m/>
    <x v="398"/>
    <s v="https://ijglobal.com/data/transaction/32394/mycielin-wind-farm-48mw"/>
    <x v="187"/>
    <x v="3"/>
    <x v="78"/>
    <m/>
    <m/>
    <m/>
    <m/>
    <x v="3"/>
    <s v="Onshore Wind"/>
    <s v="Financial Close"/>
    <n v="24"/>
    <n v="2.7313745565599998E-2"/>
    <n v="1.092549822624"/>
    <m/>
    <n v="24"/>
    <m/>
  </r>
  <r>
    <x v="17"/>
    <x v="3"/>
    <s v="Multilateral"/>
    <n v="54110000"/>
    <m/>
    <m/>
    <m/>
    <x v="268"/>
    <s v="https://ijglobal.com/data/transaction/33058/krnovo-wind-farm-72mw"/>
    <x v="102"/>
    <x v="3"/>
    <x v="39"/>
    <m/>
    <m/>
    <m/>
    <m/>
    <x v="3"/>
    <s v="Onshore Wind"/>
    <s v="Financial Close"/>
    <n v="36"/>
    <n v="4.0970618348399997E-2"/>
    <n v="1.6388247339359998"/>
    <m/>
    <n v="36"/>
    <m/>
  </r>
  <r>
    <x v="17"/>
    <x v="60"/>
    <s v="Multilateral"/>
    <n v="155000000"/>
    <m/>
    <m/>
    <m/>
    <x v="399"/>
    <s v="https://ijglobal.com/data/transaction/19226/negev-solar-thermal-plant-121mw"/>
    <x v="188"/>
    <x v="7"/>
    <x v="60"/>
    <m/>
    <m/>
    <m/>
    <m/>
    <x v="3"/>
    <s v="Thermal Solar"/>
    <s v="Financial Close"/>
    <n v="60.5"/>
    <n v="6.8853400279950003E-2"/>
    <n v="2.7541360111980002"/>
    <m/>
    <n v="60.5"/>
    <m/>
  </r>
  <r>
    <x v="17"/>
    <x v="60"/>
    <s v="Multilateral"/>
    <n v="277910000"/>
    <m/>
    <m/>
    <m/>
    <x v="400"/>
    <s v="https://ijglobal.com/data/transaction/22484/belwind-2-offshore-wind-phase-2-165mw"/>
    <x v="189"/>
    <x v="3"/>
    <x v="71"/>
    <m/>
    <m/>
    <m/>
    <m/>
    <x v="3"/>
    <s v="Offshore Wind"/>
    <s v="Financial Close"/>
    <n v="165"/>
    <n v="0.18778200076350002"/>
    <n v="7.5112800305400009"/>
    <m/>
    <n v="165"/>
    <m/>
  </r>
  <r>
    <x v="17"/>
    <x v="60"/>
    <s v="Multilateral"/>
    <n v="344730000"/>
    <m/>
    <m/>
    <m/>
    <x v="401"/>
    <s v="https://ijglobal.com/data/transaction/31795/galloper-offshore-wind-farm-336mw"/>
    <x v="71"/>
    <x v="3"/>
    <x v="52"/>
    <s v="England"/>
    <m/>
    <m/>
    <m/>
    <x v="3"/>
    <s v="Offshore Wind"/>
    <s v="Financial Close"/>
    <n v="336"/>
    <n v="0.3823924379184"/>
    <n v="15.295697516736"/>
    <m/>
    <n v="336"/>
    <m/>
  </r>
  <r>
    <x v="17"/>
    <x v="57"/>
    <s v="Multilateral"/>
    <n v="31000000"/>
    <s v="Azure Power"/>
    <m/>
    <m/>
    <x v="402"/>
    <s v="https://ijglobal.com/data/transaction/35073/azure-power-karnataka-solar-130mw"/>
    <x v="190"/>
    <x v="5"/>
    <x v="50"/>
    <s v="Karnataka"/>
    <m/>
    <m/>
    <m/>
    <x v="3"/>
    <s v="Photovoltaic Solar"/>
    <s v="Financial Close"/>
    <n v="65"/>
    <n v="7.3974727573500015E-2"/>
    <n v="2.9589891029400004"/>
    <m/>
    <n v="65"/>
    <m/>
  </r>
  <r>
    <x v="17"/>
    <x v="57"/>
    <s v="Multilateral"/>
    <n v="80000000"/>
    <s v="Azure Power"/>
    <m/>
    <m/>
    <x v="402"/>
    <s v="https://ijglobal.com/data/transaction/35073/azure-power-karnataka-solar-130mw"/>
    <x v="190"/>
    <x v="5"/>
    <x v="50"/>
    <s v="Karnataka"/>
    <m/>
    <m/>
    <m/>
    <x v="3"/>
    <s v="Photovoltaic Solar"/>
    <s v="Financial Close"/>
    <n v="65"/>
    <n v="7.3974727573500015E-2"/>
    <n v="2.9589891029400004"/>
    <m/>
    <n v="65"/>
    <m/>
  </r>
  <r>
    <x v="17"/>
    <x v="62"/>
    <s v="Multilateral"/>
    <n v="10620000"/>
    <m/>
    <m/>
    <m/>
    <x v="403"/>
    <s v="https://ijglobal.com/data/transaction/34664/khalladi-wind-farm-120mw"/>
    <x v="191"/>
    <x v="7"/>
    <x v="21"/>
    <m/>
    <m/>
    <m/>
    <m/>
    <x v="3"/>
    <s v="Onshore Wind"/>
    <s v="Financial Close"/>
    <n v="60"/>
    <n v="6.8284363914000015E-2"/>
    <n v="2.7313745565600005"/>
    <m/>
    <n v="60"/>
    <m/>
  </r>
  <r>
    <x v="17"/>
    <x v="3"/>
    <s v="Multilateral"/>
    <n v="56300000"/>
    <m/>
    <m/>
    <m/>
    <x v="403"/>
    <s v="https://ijglobal.com/data/transaction/34664/khalladi-wind-farm-120mw"/>
    <x v="191"/>
    <x v="7"/>
    <x v="21"/>
    <m/>
    <m/>
    <m/>
    <m/>
    <x v="3"/>
    <s v="Onshore Wind"/>
    <s v="Financial Close"/>
    <n v="60"/>
    <n v="6.8284363914000015E-2"/>
    <n v="2.7313745565600005"/>
    <m/>
    <n v="60"/>
    <m/>
  </r>
  <r>
    <x v="17"/>
    <x v="60"/>
    <s v="Multilateral"/>
    <n v="73110000"/>
    <m/>
    <m/>
    <m/>
    <x v="167"/>
    <s v="https://ijglobal.com/data/transaction/16901/gabal-el-zeit-wind-farm-200mw"/>
    <x v="56"/>
    <x v="7"/>
    <x v="32"/>
    <m/>
    <m/>
    <m/>
    <m/>
    <x v="3"/>
    <s v="Onshore Wind"/>
    <s v="Financial Close"/>
    <n v="66.666666666666671"/>
    <n v="7.5871515459999997E-2"/>
    <n v="3.0348606183999998"/>
    <m/>
    <n v="66.666666666666671"/>
    <m/>
  </r>
  <r>
    <x v="17"/>
    <x v="60"/>
    <s v="Multilateral"/>
    <n v="137000000"/>
    <m/>
    <m/>
    <m/>
    <x v="337"/>
    <s v="https://ijglobal.com/data/transaction/35043/theistareykir-geothermal-plant-90mw"/>
    <x v="142"/>
    <x v="3"/>
    <x v="75"/>
    <m/>
    <m/>
    <m/>
    <m/>
    <x v="3"/>
    <s v="Geothermal"/>
    <s v="Financial Close"/>
    <n v="45"/>
    <n v="5.1213272935500001E-2"/>
    <n v="2.0485309174199999"/>
    <m/>
    <n v="45"/>
    <m/>
  </r>
  <r>
    <x v="17"/>
    <x v="56"/>
    <s v="Multilateral"/>
    <n v="150000000"/>
    <m/>
    <m/>
    <m/>
    <x v="404"/>
    <s v="https://ijglobal.com/data/transaction/31950/delingha-concentrating-solar-power-park-50mw"/>
    <x v="192"/>
    <x v="10"/>
    <x v="64"/>
    <m/>
    <m/>
    <m/>
    <m/>
    <x v="3"/>
    <s v="Thermal Solar"/>
    <s v="Financial Close"/>
    <n v="50"/>
    <n v="5.6903636595000001E-2"/>
    <n v="2.2761454637999998"/>
    <m/>
    <n v="50"/>
    <m/>
  </r>
  <r>
    <x v="17"/>
    <x v="57"/>
    <s v="Multilateral"/>
    <n v="10000000"/>
    <s v="Canadian Solar"/>
    <m/>
    <m/>
    <x v="405"/>
    <s v="https://ijglobal.com/data/transaction/35616/canadian-solar-additional-facility-2016"/>
    <x v="193"/>
    <x v="6"/>
    <x v="24"/>
    <m/>
    <m/>
    <m/>
    <m/>
    <x v="3"/>
    <s v="Photovoltaic Solar"/>
    <s v="Financial Close"/>
    <m/>
    <n v="0"/>
    <n v="0"/>
    <m/>
    <m/>
    <m/>
  </r>
  <r>
    <x v="17"/>
    <x v="57"/>
    <s v="Multilateral"/>
    <n v="60000000"/>
    <s v="Canadian Solar"/>
    <m/>
    <m/>
    <x v="405"/>
    <s v="https://ijglobal.com/data/transaction/35616/canadian-solar-additional-facility-2016"/>
    <x v="193"/>
    <x v="6"/>
    <x v="24"/>
    <m/>
    <m/>
    <m/>
    <m/>
    <x v="3"/>
    <s v="Photovoltaic Solar"/>
    <s v="Financial Close"/>
    <m/>
    <n v="0"/>
    <n v="0"/>
    <m/>
    <m/>
    <m/>
  </r>
  <r>
    <x v="17"/>
    <x v="56"/>
    <s v="Multilateral"/>
    <n v="175000000"/>
    <m/>
    <m/>
    <m/>
    <x v="406"/>
    <s v="https://ijglobal.com/data/transaction/35991/mytrah-energy-additional-facility"/>
    <x v="194"/>
    <x v="5"/>
    <x v="50"/>
    <s v="Andhra Pradesh, Karnataka, Madhya Pradesh, Punjab, Rajasthan"/>
    <m/>
    <m/>
    <m/>
    <x v="3"/>
    <s v="Onshore Wind,Photovoltaic Solar"/>
    <s v="Financial Close"/>
    <m/>
    <n v="0"/>
    <n v="0"/>
    <m/>
    <m/>
    <m/>
  </r>
  <r>
    <x v="17"/>
    <x v="57"/>
    <s v="Multilateral"/>
    <n v="29500000"/>
    <s v="Ostro Andhra Wind Private Ltd."/>
    <m/>
    <m/>
    <x v="407"/>
    <s v="https://ijglobal.com/data/transaction/36452/ostro-andhra-wind-farm-987mw"/>
    <x v="195"/>
    <x v="5"/>
    <x v="50"/>
    <s v="Andhra Pradesh"/>
    <m/>
    <m/>
    <m/>
    <x v="3"/>
    <s v="Onshore Wind"/>
    <s v="Financial Close"/>
    <n v="49.35"/>
    <n v="5.6163889319265012E-2"/>
    <n v="2.2465555727706006"/>
    <m/>
    <n v="49.35"/>
    <m/>
  </r>
  <r>
    <x v="17"/>
    <x v="57"/>
    <s v="Multilateral"/>
    <n v="61900000"/>
    <s v="Ostro Andhra Wind Private Ltd."/>
    <m/>
    <m/>
    <x v="407"/>
    <s v="https://ijglobal.com/data/transaction/36452/ostro-andhra-wind-farm-987mw"/>
    <x v="195"/>
    <x v="5"/>
    <x v="50"/>
    <s v="Andhra Pradesh"/>
    <m/>
    <m/>
    <m/>
    <x v="3"/>
    <s v="Onshore Wind"/>
    <s v="Financial Close"/>
    <n v="49.35"/>
    <n v="5.6163889319265012E-2"/>
    <n v="2.2465555727706006"/>
    <m/>
    <n v="49.35"/>
    <m/>
  </r>
  <r>
    <x v="17"/>
    <x v="60"/>
    <s v="Multilateral"/>
    <n v="437790000"/>
    <m/>
    <m/>
    <m/>
    <x v="272"/>
    <s v="https://ijglobal.com/data/transaction/19433/beatrice-offshore-wind-farm-588mw"/>
    <x v="106"/>
    <x v="3"/>
    <x v="52"/>
    <s v="Scotland"/>
    <m/>
    <m/>
    <m/>
    <x v="3"/>
    <s v="Offshore Wind"/>
    <s v="Financial Close"/>
    <n v="65.333333333333329"/>
    <n v="7.4354085150800012E-2"/>
    <n v="2.9741634060320004"/>
    <m/>
    <n v="65.333333333333329"/>
    <m/>
  </r>
  <r>
    <x v="17"/>
    <x v="60"/>
    <s v="Multilateral"/>
    <n v="328340000"/>
    <m/>
    <m/>
    <m/>
    <x v="272"/>
    <s v="https://ijglobal.com/data/transaction/19433/beatrice-offshore-wind-farm-588mw"/>
    <x v="106"/>
    <x v="3"/>
    <x v="52"/>
    <s v="Scotland"/>
    <m/>
    <m/>
    <m/>
    <x v="3"/>
    <s v="Offshore Wind"/>
    <s v="Financial Close"/>
    <n v="65.333333333333329"/>
    <n v="7.4354085150800012E-2"/>
    <n v="2.9741634060320004"/>
    <m/>
    <n v="65.333333333333329"/>
    <m/>
  </r>
  <r>
    <x v="17"/>
    <x v="61"/>
    <s v="Multilateral"/>
    <n v="19700000"/>
    <m/>
    <m/>
    <m/>
    <x v="195"/>
    <s v="https://ijglobal.com/data/transaction/34823/los-loros-solar-pv-plant-54mw"/>
    <x v="72"/>
    <x v="4"/>
    <x v="10"/>
    <m/>
    <m/>
    <m/>
    <m/>
    <x v="3"/>
    <s v="Photovoltaic Solar"/>
    <s v="Financial Close"/>
    <n v="27"/>
    <n v="3.0727963761299999E-2"/>
    <n v="1.2291185504519999"/>
    <m/>
    <n v="27"/>
    <m/>
  </r>
  <r>
    <x v="17"/>
    <x v="61"/>
    <s v="Multilateral"/>
    <n v="18000000"/>
    <m/>
    <m/>
    <m/>
    <x v="195"/>
    <s v="https://ijglobal.com/data/transaction/34823/los-loros-solar-pv-plant-54mw"/>
    <x v="72"/>
    <x v="4"/>
    <x v="10"/>
    <m/>
    <m/>
    <m/>
    <m/>
    <x v="3"/>
    <s v="Photovoltaic Solar"/>
    <s v="Financial Close"/>
    <n v="27"/>
    <n v="3.0727963761299999E-2"/>
    <n v="1.2291185504519999"/>
    <m/>
    <n v="27"/>
    <m/>
  </r>
  <r>
    <x v="17"/>
    <x v="62"/>
    <s v="Multilateral"/>
    <n v="53670000"/>
    <m/>
    <m/>
    <m/>
    <x v="18"/>
    <s v="https://ijglobal.com/data/transaction/36531/negros-occidental-biomass-power-plants-70mw"/>
    <x v="15"/>
    <x v="6"/>
    <x v="14"/>
    <m/>
    <m/>
    <m/>
    <m/>
    <x v="3"/>
    <s v="Biomass"/>
    <s v="Financial Close"/>
    <n v="23.333333333333332"/>
    <n v="2.6555030411000002E-2"/>
    <n v="1.0622012164400001"/>
    <m/>
    <n v="23.333333333333332"/>
    <m/>
  </r>
  <r>
    <x v="17"/>
    <x v="57"/>
    <s v="Multilateral"/>
    <n v="53670000"/>
    <m/>
    <m/>
    <m/>
    <x v="18"/>
    <s v="https://ijglobal.com/data/transaction/36531/negros-occidental-biomass-power-plants-70mw"/>
    <x v="15"/>
    <x v="6"/>
    <x v="14"/>
    <m/>
    <m/>
    <m/>
    <m/>
    <x v="3"/>
    <s v="Biomass"/>
    <s v="Financial Close"/>
    <n v="23.333333333333332"/>
    <n v="2.6555030411000002E-2"/>
    <n v="1.0622012164400001"/>
    <m/>
    <n v="23.333333333333332"/>
    <m/>
  </r>
  <r>
    <x v="17"/>
    <x v="61"/>
    <s v="Multilateral"/>
    <n v="12500000"/>
    <m/>
    <m/>
    <m/>
    <x v="408"/>
    <s v="https://ijglobal.com/data/transaction/36620/natelu-95mw-and-yarnel-95mw-solar-pv-plants"/>
    <x v="196"/>
    <x v="4"/>
    <x v="16"/>
    <m/>
    <m/>
    <m/>
    <m/>
    <x v="3"/>
    <s v="Photovoltaic Solar"/>
    <s v="Financial Close"/>
    <n v="19"/>
    <n v="2.1623381906100001E-2"/>
    <n v="0.86493527624400002"/>
    <m/>
    <n v="19"/>
    <m/>
  </r>
  <r>
    <x v="17"/>
    <x v="3"/>
    <s v="Multilateral"/>
    <n v="25000000"/>
    <m/>
    <m/>
    <m/>
    <x v="339"/>
    <s v="https://ijglobal.com/data/transaction/34437/tsetsii-wind-farm-50mw"/>
    <x v="144"/>
    <x v="8"/>
    <x v="38"/>
    <m/>
    <m/>
    <m/>
    <m/>
    <x v="3"/>
    <s v="Onshore Wind"/>
    <s v="Financial Close"/>
    <n v="25"/>
    <n v="2.8451818297500001E-2"/>
    <n v="1.1380727318999999"/>
    <m/>
    <n v="25"/>
    <m/>
  </r>
  <r>
    <x v="17"/>
    <x v="60"/>
    <s v="Multilateral"/>
    <n v="280870000"/>
    <m/>
    <m/>
    <m/>
    <x v="274"/>
    <s v="https://ijglobal.com/data/transaction/35688/rentel-offshore-wind-farm-309mw"/>
    <x v="108"/>
    <x v="3"/>
    <x v="71"/>
    <m/>
    <m/>
    <m/>
    <m/>
    <x v="3"/>
    <s v="Offshore Wind"/>
    <s v="Financial Close"/>
    <n v="103"/>
    <n v="0.1172214913857"/>
    <n v="4.6888596554279998"/>
    <m/>
    <n v="103"/>
    <m/>
  </r>
  <r>
    <x v="17"/>
    <x v="60"/>
    <s v="Multilateral"/>
    <n v="56170000"/>
    <m/>
    <m/>
    <m/>
    <x v="274"/>
    <s v="https://ijglobal.com/data/transaction/35688/rentel-offshore-wind-farm-309mw"/>
    <x v="108"/>
    <x v="3"/>
    <x v="71"/>
    <m/>
    <m/>
    <m/>
    <m/>
    <x v="3"/>
    <s v="Offshore Wind"/>
    <s v="Financial Close"/>
    <n v="103"/>
    <n v="0.1172214913857"/>
    <n v="4.6888596554279998"/>
    <m/>
    <n v="103"/>
    <m/>
  </r>
  <r>
    <x v="17"/>
    <x v="3"/>
    <s v="Multilateral"/>
    <n v="24000000"/>
    <m/>
    <m/>
    <m/>
    <x v="409"/>
    <s v="https://ijglobal.com/data/transaction/33581/gori-wind-farm-207mw"/>
    <x v="109"/>
    <x v="3"/>
    <x v="33"/>
    <m/>
    <m/>
    <m/>
    <m/>
    <x v="3"/>
    <s v="Onshore Wind"/>
    <s v="Financial Close"/>
    <n v="20.7"/>
    <n v="2.355810555033E-2"/>
    <n v="0.94232422201319999"/>
    <m/>
    <n v="20.7"/>
    <m/>
  </r>
  <r>
    <x v="17"/>
    <x v="56"/>
    <s v="Multilateral"/>
    <n v="75000000"/>
    <s v="Triconboston Consulting Corporation"/>
    <m/>
    <m/>
    <x v="275"/>
    <s v="https://ijglobal.com/data/transaction/36661/tbcc-thatta-district-wind-complex-150mw"/>
    <x v="109"/>
    <x v="5"/>
    <x v="19"/>
    <m/>
    <m/>
    <m/>
    <m/>
    <x v="3"/>
    <s v="Onshore Wind"/>
    <s v="Financial Close"/>
    <n v="37.5"/>
    <n v="4.2677727446250001E-2"/>
    <n v="1.7071090978500001"/>
    <m/>
    <n v="37.5"/>
    <m/>
  </r>
  <r>
    <x v="17"/>
    <x v="57"/>
    <s v="Multilateral"/>
    <n v="75000000"/>
    <s v="Triconboston Consulting Corporation"/>
    <m/>
    <m/>
    <x v="275"/>
    <s v="https://ijglobal.com/data/transaction/36661/tbcc-thatta-district-wind-complex-150mw"/>
    <x v="109"/>
    <x v="5"/>
    <x v="19"/>
    <m/>
    <m/>
    <m/>
    <m/>
    <x v="3"/>
    <s v="Onshore Wind"/>
    <s v="Financial Close"/>
    <n v="37.5"/>
    <n v="4.2677727446250001E-2"/>
    <n v="1.7071090978500001"/>
    <m/>
    <n v="37.5"/>
    <m/>
  </r>
  <r>
    <x v="17"/>
    <x v="58"/>
    <s v="Multilateral"/>
    <n v="17500000"/>
    <s v="Triconboston Consulting Corporation"/>
    <m/>
    <m/>
    <x v="275"/>
    <s v="https://ijglobal.com/data/transaction/36661/tbcc-thatta-district-wind-complex-150mw"/>
    <x v="109"/>
    <x v="5"/>
    <x v="19"/>
    <m/>
    <m/>
    <m/>
    <m/>
    <x v="3"/>
    <s v="Onshore Wind"/>
    <s v="Financial Close"/>
    <n v="37.5"/>
    <n v="4.2677727446250001E-2"/>
    <n v="1.7071090978500001"/>
    <m/>
    <n v="37.5"/>
    <m/>
  </r>
  <r>
    <x v="17"/>
    <x v="3"/>
    <s v="Multilateral"/>
    <n v="69420000"/>
    <m/>
    <m/>
    <m/>
    <x v="196"/>
    <s v="https://ijglobal.com/data/transaction/35855/al-rajef-wind-farm-82mw"/>
    <x v="73"/>
    <x v="7"/>
    <x v="56"/>
    <m/>
    <m/>
    <m/>
    <m/>
    <x v="3"/>
    <s v="Onshore Wind"/>
    <s v="Financial Close"/>
    <n v="41"/>
    <n v="4.6660982007900004E-2"/>
    <n v="1.8664392803160001"/>
    <m/>
    <n v="41"/>
    <m/>
  </r>
  <r>
    <x v="17"/>
    <x v="61"/>
    <s v="Multilateral"/>
    <n v="55700000"/>
    <m/>
    <m/>
    <m/>
    <x v="21"/>
    <s v="https://ijglobal.com/data/transaction/34353/sky-solars-uruguay-pv-portfolio-699mw"/>
    <x v="18"/>
    <x v="4"/>
    <x v="16"/>
    <m/>
    <m/>
    <m/>
    <m/>
    <x v="3"/>
    <s v="Photovoltaic Solar"/>
    <s v="Financial Close"/>
    <n v="34.950000000000003"/>
    <n v="3.9775641979905012E-2"/>
    <n v="1.5910256791962005"/>
    <m/>
    <n v="34.950000000000003"/>
    <m/>
  </r>
  <r>
    <x v="17"/>
    <x v="60"/>
    <s v="Multilateral"/>
    <n v="212730000"/>
    <m/>
    <m/>
    <m/>
    <x v="410"/>
    <s v="https://ijglobal.com/data/transaction/36903/norther-offshore-wind-farm-370mw"/>
    <x v="197"/>
    <x v="3"/>
    <x v="71"/>
    <m/>
    <m/>
    <m/>
    <m/>
    <x v="3"/>
    <s v="Offshore Wind"/>
    <s v="Financial Close"/>
    <n v="185"/>
    <n v="0.21054345540149999"/>
    <n v="8.4217382160599996"/>
    <m/>
    <n v="185"/>
    <m/>
  </r>
  <r>
    <x v="17"/>
    <x v="60"/>
    <s v="Multilateral"/>
    <n v="20160000"/>
    <m/>
    <m/>
    <m/>
    <x v="410"/>
    <s v="https://ijglobal.com/data/transaction/36903/norther-offshore-wind-farm-370mw"/>
    <x v="197"/>
    <x v="3"/>
    <x v="71"/>
    <m/>
    <m/>
    <m/>
    <m/>
    <x v="3"/>
    <s v="Offshore Wind"/>
    <s v="Financial Close"/>
    <n v="185"/>
    <n v="0.21054345540149999"/>
    <n v="8.4217382160599996"/>
    <m/>
    <n v="185"/>
    <m/>
  </r>
  <r>
    <x v="17"/>
    <x v="57"/>
    <s v="Multilateral"/>
    <n v="76000000"/>
    <m/>
    <m/>
    <m/>
    <x v="180"/>
    <s v="https://ijglobal.com/data/transaction/33332/jordan-one-solar-pv-plant-664mw-ppp"/>
    <x v="63"/>
    <x v="7"/>
    <x v="56"/>
    <m/>
    <m/>
    <m/>
    <m/>
    <x v="3"/>
    <s v="Photovoltaic Solar"/>
    <s v="Financial Close"/>
    <n v="33.200000000000003"/>
    <n v="3.7784014699080007E-2"/>
    <n v="1.5113605879632002"/>
    <m/>
    <n v="33.200000000000003"/>
    <m/>
  </r>
  <r>
    <x v="17"/>
    <x v="57"/>
    <s v="Multilateral"/>
    <n v="2400000"/>
    <m/>
    <m/>
    <m/>
    <x v="180"/>
    <s v="https://ijglobal.com/data/transaction/33332/jordan-one-solar-pv-plant-664mw-ppp"/>
    <x v="63"/>
    <x v="7"/>
    <x v="56"/>
    <m/>
    <m/>
    <m/>
    <m/>
    <x v="3"/>
    <s v="Photovoltaic Solar"/>
    <s v="Financial Close"/>
    <n v="33.200000000000003"/>
    <n v="3.7784014699080007E-2"/>
    <n v="1.5113605879632002"/>
    <m/>
    <n v="33.200000000000003"/>
    <m/>
  </r>
  <r>
    <x v="17"/>
    <x v="3"/>
    <s v="Multilateral"/>
    <n v="35500000"/>
    <m/>
    <m/>
    <m/>
    <x v="197"/>
    <s v="https://ijglobal.com/data/transaction/36100/empire-solar-pv-plant-67mw-ppp"/>
    <x v="74"/>
    <x v="7"/>
    <x v="56"/>
    <m/>
    <m/>
    <m/>
    <m/>
    <x v="3"/>
    <s v="Photovoltaic Solar"/>
    <s v="Financial Close"/>
    <n v="67"/>
    <n v="7.6250873037299993E-2"/>
    <n v="3.0500349214919997"/>
    <m/>
    <n v="67"/>
    <m/>
  </r>
  <r>
    <x v="17"/>
    <x v="56"/>
    <s v="Multilateral"/>
    <n v="109000000"/>
    <s v="PT Supreme Energy Muara Laboh"/>
    <m/>
    <m/>
    <x v="340"/>
    <s v="https://tradefinanceanalytics.com/data/transaction/55639/supreme-energy-muara-laboh"/>
    <x v="145"/>
    <x v="6"/>
    <x v="20"/>
    <s v="South Solok in West Sumatra"/>
    <s v="The $439 million package $198 million loan from JBIC, $109 million of loans from the Asian Development Bank and $132 million from Bank of Tokyo-Mitsubishi UFJ, Mizuho and SMBC"/>
    <s v="https://ijglobal.com/data/transaction/37541?name=Muara%20Laboh%20Geothermal%20Power%20Plant%20(80MW)%20PPP&amp;link=%2Farticles%2F105528%2Ffinancial-close-for-muara-laboh-geothermal"/>
    <m/>
    <x v="3"/>
    <s v="Geothermal"/>
    <s v="Financial Close"/>
    <n v="9"/>
    <n v="1.0242654587099999E-2"/>
    <n v="0.40970618348399995"/>
    <m/>
    <n v="9"/>
    <m/>
  </r>
  <r>
    <x v="17"/>
    <x v="57"/>
    <s v="Multilateral"/>
    <n v="67740000"/>
    <s v="Elicio NV"/>
    <m/>
    <m/>
    <x v="411"/>
    <s v="https://ijglobal.com/data/transaction/38456/alibunar-wind-farm-42mw"/>
    <x v="198"/>
    <x v="3"/>
    <x v="5"/>
    <m/>
    <m/>
    <m/>
    <m/>
    <x v="3"/>
    <s v="Onshore Wind"/>
    <s v="Financial Close"/>
    <n v="42"/>
    <n v="4.77990547398E-2"/>
    <n v="1.911962189592"/>
    <m/>
    <n v="42"/>
    <m/>
  </r>
  <r>
    <x v="17"/>
    <x v="58"/>
    <s v="Multilateral"/>
    <n v="110000000"/>
    <m/>
    <m/>
    <m/>
    <x v="22"/>
    <s v="https://ijglobal.com/data/transaction/33723/mohammed-bin-rashid-al-maktoum-solar-pv-phase-iii-800mw-ppp"/>
    <x v="19"/>
    <x v="7"/>
    <x v="17"/>
    <s v="Seih Al-Dilal"/>
    <m/>
    <s v="https://ijglobal.com/articles/106791/debt-terms-revealed-as-masdar-edf-close-on-dubai-pv"/>
    <m/>
    <x v="3"/>
    <s v="Photovoltaic Solar"/>
    <s v="Financing"/>
    <n v="400"/>
    <n v="0.45522909276000001"/>
    <n v="18.209163710399999"/>
    <m/>
    <n v="400"/>
    <m/>
  </r>
  <r>
    <x v="17"/>
    <x v="57"/>
    <s v="Multilateral"/>
    <n v="20000000"/>
    <s v="Acciona Energia Global and Enara Bahrain"/>
    <m/>
    <m/>
    <x v="412"/>
    <s v="https://ijglobal.com/articles/106828/ifc-to-back-five-in-egypt-solar-fit-ii"/>
    <x v="3"/>
    <x v="7"/>
    <x v="32"/>
    <s v="Benban"/>
    <s v="The financing will be used for the construction and development of two photovoltaic solar plants under development by a joint venture of Acciona Energia Global (38%) and Enara Bahrain (38%) – the investment vehicle of Swicorp, KCC Corporation and the Shoaibi Group – and TBEA Xinjiang SunOasisCo (24%). The plants will be located in the Benban 1.8GW PV solar park situated 12 km west of Benban, and 15 km west of the Nile River, in the Aswan Governorate of Upper Egypt."/>
    <s v="https://ijglobal.com/data/transaction/38214/acciona-benban-solar-pv-portfolio-100mw"/>
    <m/>
    <x v="3"/>
    <s v="Photovoltaic Solar"/>
    <s v="Financing"/>
    <n v="50"/>
    <n v="5.6903636595000001E-2"/>
    <n v="2.2761454637999998"/>
    <m/>
    <n v="50"/>
    <m/>
  </r>
  <r>
    <x v="17"/>
    <x v="57"/>
    <s v="Multilateral"/>
    <n v="20000000"/>
    <s v="Acciona Energia Global and Enara Bahrain"/>
    <m/>
    <m/>
    <x v="413"/>
    <s v="https://ijglobal.com/articles/106828/ifc-to-back-five-in-egypt-solar-fit-ii"/>
    <x v="3"/>
    <x v="7"/>
    <x v="32"/>
    <s v="Benban"/>
    <s v="The financing will be used for the construction and development of two photovoltaic solar plants under development by a joint venture of Acciona Energia Global (38%) and Enara Bahrain (38%) – the investment vehicle of Swicorp, KCC Corporation and the Shoaibi Group – and TBEA Xinjiang SunOasisCo (24%). The plants will be located in the Benban 1.8GW PV solar park situated 12 km west of Benban, and 15 km west of the Nile River, in the Aswan Governorate of Upper Egypt."/>
    <s v="https://ijglobal.com/data/transaction/38214/acciona-benban-solar-pv-portfolio-100mw"/>
    <m/>
    <x v="3"/>
    <s v="Photovoltaic Solar"/>
    <s v="Financing"/>
    <n v="50"/>
    <n v="5.6903636595000001E-2"/>
    <n v="2.2761454637999998"/>
    <m/>
    <n v="50"/>
    <m/>
  </r>
  <r>
    <x v="17"/>
    <x v="57"/>
    <s v="Multilateral"/>
    <n v="20000000"/>
    <s v="Acwa Power"/>
    <m/>
    <m/>
    <x v="414"/>
    <s v="https://ijglobal.com/data/transaction/36049/benban-1-solar-pv-plant-50mw"/>
    <x v="3"/>
    <x v="7"/>
    <x v="32"/>
    <s v="Benban"/>
    <m/>
    <s v="https://ijglobal.com/data/transaction/38186/acwa-power-benban-solar-pv-portfolio-120mw"/>
    <m/>
    <x v="3"/>
    <s v="Photovoltaic Solar"/>
    <s v="Financing"/>
    <n v="50"/>
    <n v="5.6903636595000001E-2"/>
    <n v="2.2761454637999998"/>
    <m/>
    <n v="16.666666666666668"/>
    <m/>
  </r>
  <r>
    <x v="17"/>
    <x v="3"/>
    <s v="Multilateral"/>
    <n v="29000000"/>
    <s v="Acwa Power"/>
    <m/>
    <m/>
    <x v="414"/>
    <s v="https://ijglobal.com/articles/106163/ebrd-considers-16-in-egypt-solar-fit-ii"/>
    <x v="3"/>
    <x v="7"/>
    <x v="32"/>
    <s v="Benban"/>
    <m/>
    <s v="https://ijglobal.com/data/transaction/38186/acwa-power-benban-solar-pv-portfolio-120mw"/>
    <m/>
    <x v="3"/>
    <s v="Photovoltaic Solar"/>
    <s v="Financing"/>
    <m/>
    <n v="0"/>
    <n v="0"/>
    <m/>
    <n v="16.666666666666668"/>
    <m/>
  </r>
  <r>
    <x v="17"/>
    <x v="3"/>
    <s v="Multilateral"/>
    <n v="11000000"/>
    <s v="Acwa Power"/>
    <m/>
    <m/>
    <x v="415"/>
    <s v="https://ijglobal.com/articles/106163/ebrd-considers-16-in-egypt-solar-fit-ii"/>
    <x v="3"/>
    <x v="7"/>
    <x v="32"/>
    <s v="Benban"/>
    <m/>
    <s v="https://ijglobal.com/data/transaction/38186/acwa-power-benban-solar-pv-portfolio-120mw"/>
    <m/>
    <x v="3"/>
    <s v="Photovoltaic Solar"/>
    <s v="Financing"/>
    <n v="20"/>
    <n v="2.2761454637999997E-2"/>
    <n v="0.91045818551999991"/>
    <m/>
    <n v="20"/>
    <m/>
  </r>
  <r>
    <x v="17"/>
    <x v="3"/>
    <s v="Multilateral"/>
    <n v="30300000"/>
    <s v="Acwa Power"/>
    <m/>
    <m/>
    <x v="416"/>
    <s v="https://ijglobal.com/articles/106163/ebrd-considers-16-in-egypt-solar-fit-ii"/>
    <x v="3"/>
    <x v="7"/>
    <x v="32"/>
    <s v="Benban"/>
    <m/>
    <s v="https://ijglobal.com/data/transaction/38186/acwa-power-benban-solar-pv-portfolio-120mw"/>
    <m/>
    <x v="3"/>
    <s v="Photovoltaic Solar"/>
    <s v="Financing"/>
    <n v="50"/>
    <n v="5.6903636595000001E-2"/>
    <n v="2.2761454637999998"/>
    <m/>
    <n v="50"/>
    <m/>
  </r>
  <r>
    <x v="17"/>
    <x v="3"/>
    <s v="Multilateral"/>
    <n v="35000000"/>
    <s v="Fotowatio Renewable Ventures, Arabia Trading &amp; Consulting Company"/>
    <m/>
    <m/>
    <x v="417"/>
    <s v="https://ijglobal.com/articles/106841/ebrd-to-back-frvs-newly-acquired-jordan-solar"/>
    <x v="3"/>
    <x v="7"/>
    <x v="56"/>
    <s v="Safawi"/>
    <s v="The special purpose vehicle is 70% owned by Abdul Latif Jameel Group (ALJ), through its holding of Fotowatio Renewable Ventures (FRV), and 30% owned by Arabia Trading &amp; Consulting Company."/>
    <m/>
    <m/>
    <x v="3"/>
    <s v="Photovoltaic Solar"/>
    <s v="Financing"/>
    <n v="25.5"/>
    <n v="2.9020854663450002E-2"/>
    <n v="1.1608341865380001"/>
    <m/>
    <n v="25.5"/>
    <m/>
  </r>
  <r>
    <x v="17"/>
    <x v="57"/>
    <s v="Multilateral"/>
    <n v="12000000"/>
    <s v="Arinna Solar Power (Albilal Group for General Contracts, Texas Constructors International, Croton Harmon, Maccaferri Industrial Group, Desert Technologies)"/>
    <s v="Desert Technologies"/>
    <m/>
    <x v="418"/>
    <s v="https://ijglobal.com/articles/106828/ifc-to-back-five-in-egypt-solar-fit-ii"/>
    <x v="3"/>
    <x v="7"/>
    <x v="32"/>
    <s v="Benban"/>
    <s v="The plant will be developed by a consortium of  Al Bilal Group for General Contracts (51%), Tech Project Development Group (9%), SECI/Enerray (25%), and Desert Technologies (15%). The sponsor will own the special purpose vehicle- Arinna Solar Power. The plant is expected to cost USD48 million. The IFC is considering providing an A loan of up to USD12 million and syndicating a further USD26.4 million. The balance will be equity."/>
    <s v="https://ijglobal.com/data/transaction/38219/arinna-benban-solar-pv-plant-25mw"/>
    <m/>
    <x v="3"/>
    <s v="Photovoltaic Solar"/>
    <s v="Financing"/>
    <n v="25"/>
    <n v="2.8451818297500001E-2"/>
    <n v="1.1380727318999999"/>
    <m/>
    <n v="25"/>
    <m/>
  </r>
  <r>
    <x v="17"/>
    <x v="62"/>
    <s v="Multilateral"/>
    <n v="10000000"/>
    <s v="United Green, Samruk-Kazyna"/>
    <m/>
    <m/>
    <x v="419"/>
    <s v="https://ijglobal.com/data/transaction/38227/burnoye-pv-solar-farm-phase-2-50mw#coverage"/>
    <x v="3"/>
    <x v="8"/>
    <x v="51"/>
    <s v="Zhambyl"/>
    <m/>
    <m/>
    <m/>
    <x v="3"/>
    <s v="Photovoltaic Solar"/>
    <s v="Financing"/>
    <n v="12.5"/>
    <n v="1.422590914875E-2"/>
    <n v="0.56903636594999996"/>
    <m/>
    <n v="12.5"/>
    <m/>
  </r>
  <r>
    <x v="17"/>
    <x v="3"/>
    <s v="Multilateral"/>
    <n v="4000000"/>
    <s v="United Green, Samruk-Kazyna"/>
    <m/>
    <m/>
    <x v="419"/>
    <s v="https://ijglobal.com/data/transaction/38227/burnoye-pv-solar-farm-phase-2-50mw#coverage"/>
    <x v="3"/>
    <x v="8"/>
    <x v="51"/>
    <s v="Zhambyl"/>
    <m/>
    <m/>
    <m/>
    <x v="3"/>
    <s v="Photovoltaic Solar"/>
    <s v="Financing"/>
    <n v="12.5"/>
    <n v="1.422590914875E-2"/>
    <n v="0.56903636594999996"/>
    <m/>
    <n v="12.5"/>
    <m/>
  </r>
  <r>
    <x v="17"/>
    <x v="0"/>
    <s v="Multilateral"/>
    <n v="220000000"/>
    <m/>
    <m/>
    <m/>
    <x v="202"/>
    <s v="https://ijglobal.com/data/transaction/27999/kiwano-solar-thermal-plant-100mw"/>
    <x v="3"/>
    <x v="0"/>
    <x v="1"/>
    <m/>
    <m/>
    <m/>
    <m/>
    <x v="3"/>
    <s v="Thermal Solar"/>
    <s v="Financing"/>
    <n v="16.666666666666668"/>
    <n v="1.8967878864999999E-2"/>
    <n v="0.75871515459999994"/>
    <m/>
    <n v="16.666666666666668"/>
    <m/>
  </r>
  <r>
    <x v="17"/>
    <x v="0"/>
    <s v="Multilateral"/>
    <n v="76700000"/>
    <m/>
    <m/>
    <m/>
    <x v="282"/>
    <s v="https://ijglobal.com/data/transaction/28728/morocco-onee-wind-power-programme-850mw"/>
    <x v="3"/>
    <x v="7"/>
    <x v="21"/>
    <m/>
    <m/>
    <m/>
    <m/>
    <x v="3"/>
    <s v="Onshore Wind"/>
    <s v="Financing"/>
    <n v="212.5"/>
    <n v="0.24184045552875"/>
    <n v="9.6736182211500008"/>
    <m/>
    <n v="212.5"/>
    <m/>
  </r>
  <r>
    <x v="17"/>
    <x v="0"/>
    <s v="Multilateral"/>
    <n v="780000"/>
    <m/>
    <m/>
    <m/>
    <x v="420"/>
    <s v="https://ijglobal.com/data/transaction/33641/starsol-solar-pv-plant-40mw"/>
    <x v="3"/>
    <x v="0"/>
    <x v="80"/>
    <m/>
    <m/>
    <m/>
    <m/>
    <x v="3"/>
    <s v="Photovoltaic Solar"/>
    <s v="Financing"/>
    <n v="40"/>
    <n v="4.5522909275999994E-2"/>
    <n v="1.8209163710399998"/>
    <m/>
    <n v="40"/>
    <m/>
  </r>
  <r>
    <x v="17"/>
    <x v="0"/>
    <s v="Multilateral"/>
    <n v="85000000"/>
    <m/>
    <m/>
    <m/>
    <x v="279"/>
    <s v="https://ijglobal.com/data/transaction/36031/west-nile-csp-plant-100mw"/>
    <x v="3"/>
    <x v="7"/>
    <x v="32"/>
    <m/>
    <m/>
    <m/>
    <m/>
    <x v="3"/>
    <s v="Thermal Solar"/>
    <s v="Pre-financing"/>
    <n v="14.285714285714286"/>
    <n v="1.6258181884285714E-2"/>
    <n v="0.65032727537142854"/>
    <m/>
    <n v="14.285714285714286"/>
    <m/>
  </r>
  <r>
    <x v="17"/>
    <x v="65"/>
    <s v="Multilateral"/>
    <n v="28500000"/>
    <m/>
    <m/>
    <m/>
    <x v="279"/>
    <s v="https://ijglobal.com/data/transaction/36031/west-nile-csp-plant-100mw"/>
    <x v="3"/>
    <x v="7"/>
    <x v="32"/>
    <m/>
    <m/>
    <m/>
    <m/>
    <x v="3"/>
    <s v="Thermal Solar"/>
    <s v="Pre-financing"/>
    <n v="14.285714285714286"/>
    <n v="1.6258181884285714E-2"/>
    <n v="0.65032727537142854"/>
    <m/>
    <n v="14.285714285714286"/>
    <m/>
  </r>
  <r>
    <x v="17"/>
    <x v="56"/>
    <s v="Multilateral"/>
    <n v="48000000"/>
    <m/>
    <m/>
    <m/>
    <x v="171"/>
    <s v="https://ijglobal.com/data/transaction/16820/jeneponto-1-wind-farm-625mw"/>
    <x v="3"/>
    <x v="6"/>
    <x v="20"/>
    <m/>
    <m/>
    <m/>
    <m/>
    <x v="3"/>
    <s v="Onshore Wind"/>
    <s v="Financing"/>
    <n v="20.83"/>
    <n v="2.3706055005477001E-2"/>
    <n v="0.94824220021908001"/>
    <m/>
    <n v="20.83"/>
    <m/>
  </r>
  <r>
    <x v="17"/>
    <x v="56"/>
    <s v="Multilateral"/>
    <n v="195000000"/>
    <m/>
    <m/>
    <m/>
    <x v="343"/>
    <s v="https://ijglobal.com/data/transaction/37462/renew-power-portfolio-financing"/>
    <x v="3"/>
    <x v="5"/>
    <x v="50"/>
    <s v="Andhra Pradesh,Gujarat,Jharkhand,Karnataka,Madhya Pradesh"/>
    <m/>
    <m/>
    <m/>
    <x v="3"/>
    <s v="Onshore Wind,Photovoltaic Solar"/>
    <s v="Financing"/>
    <m/>
    <n v="0"/>
    <n v="0"/>
    <m/>
    <m/>
    <m/>
  </r>
  <r>
    <x v="17"/>
    <x v="56"/>
    <s v="Multilateral"/>
    <n v="7390000"/>
    <s v="Surajbari Windfarm Development"/>
    <m/>
    <m/>
    <x v="285"/>
    <s v="https://ijglobal.com/data/transaction/31665/surajbari-wind-farms-project-170mw"/>
    <x v="3"/>
    <x v="5"/>
    <x v="50"/>
    <s v="Maharashtra"/>
    <m/>
    <m/>
    <m/>
    <x v="3"/>
    <s v="Photovoltaic Solar"/>
    <s v="Financing"/>
    <n v="25"/>
    <n v="2.8451818297500001E-2"/>
    <n v="1.1380727318999999"/>
    <m/>
    <n v="25"/>
    <m/>
  </r>
  <r>
    <x v="17"/>
    <x v="62"/>
    <s v="Multilateral"/>
    <n v="0"/>
    <m/>
    <m/>
    <m/>
    <x v="172"/>
    <s v="https://ijglobal.com/data/transaction/34017/atacama-1-solar-complex-210mw"/>
    <x v="3"/>
    <x v="4"/>
    <x v="10"/>
    <m/>
    <m/>
    <m/>
    <m/>
    <x v="3"/>
    <s v="Photovoltaic Solar,Thermal Solar"/>
    <s v="Financing"/>
    <n v="70"/>
    <n v="7.9665091233000015E-2"/>
    <n v="3.1866036493200007"/>
    <m/>
    <n v="70"/>
    <m/>
  </r>
  <r>
    <x v="17"/>
    <x v="62"/>
    <s v="Multilateral"/>
    <n v="30000000"/>
    <m/>
    <m/>
    <m/>
    <x v="421"/>
    <s v="https://ijglobal.com/data/transaction/36115/cerro-pabellon-geothermal-power-plant-48mw"/>
    <x v="3"/>
    <x v="4"/>
    <x v="10"/>
    <m/>
    <m/>
    <m/>
    <m/>
    <x v="3"/>
    <s v="Geothermal"/>
    <s v="Financing"/>
    <n v="48"/>
    <n v="5.4627491131199996E-2"/>
    <n v="2.185099645248"/>
    <m/>
    <n v="48"/>
    <m/>
  </r>
  <r>
    <x v="17"/>
    <x v="62"/>
    <s v="Multilateral"/>
    <n v="250000000"/>
    <m/>
    <m/>
    <m/>
    <x v="202"/>
    <s v="https://ijglobal.com/data/transaction/27999/kiwano-solar-thermal-plant-100mw"/>
    <x v="3"/>
    <x v="0"/>
    <x v="1"/>
    <m/>
    <m/>
    <m/>
    <m/>
    <x v="3"/>
    <s v="Thermal Solar"/>
    <s v="Financing"/>
    <n v="16.666666666666668"/>
    <n v="1.8967878864999999E-2"/>
    <n v="0.75871515459999994"/>
    <m/>
    <n v="16.666666666666668"/>
    <m/>
  </r>
  <r>
    <x v="17"/>
    <x v="62"/>
    <s v="Multilateral"/>
    <n v="66980000.000000007"/>
    <m/>
    <m/>
    <m/>
    <x v="282"/>
    <s v="https://ijglobal.com/data/transaction/28728/morocco-onee-wind-power-programme-850mw"/>
    <x v="3"/>
    <x v="7"/>
    <x v="21"/>
    <m/>
    <m/>
    <m/>
    <m/>
    <x v="3"/>
    <s v="Onshore Wind"/>
    <s v="Financing"/>
    <n v="212.5"/>
    <n v="0.24184045552875"/>
    <n v="9.6736182211500008"/>
    <m/>
    <n v="212.5"/>
    <m/>
  </r>
  <r>
    <x v="17"/>
    <x v="62"/>
    <s v="Multilateral"/>
    <n v="159360000"/>
    <m/>
    <m/>
    <m/>
    <x v="422"/>
    <s v="https://ijglobal.com/data/transaction/36993/noor-talifalet-solar-pv-trio-120mw"/>
    <x v="3"/>
    <x v="7"/>
    <x v="21"/>
    <m/>
    <m/>
    <m/>
    <m/>
    <x v="3"/>
    <s v="Photovoltaic Solar"/>
    <s v="Pre-financing"/>
    <n v="120"/>
    <n v="0.13656872782800003"/>
    <n v="5.462749113120001"/>
    <m/>
    <n v="120"/>
    <m/>
  </r>
  <r>
    <x v="17"/>
    <x v="62"/>
    <s v="Multilateral"/>
    <n v="38800000"/>
    <m/>
    <m/>
    <m/>
    <x v="199"/>
    <s v="https://ijglobal.com/data/transaction/32729/redstone-csp-plant-100mw"/>
    <x v="3"/>
    <x v="0"/>
    <x v="1"/>
    <m/>
    <m/>
    <m/>
    <m/>
    <x v="3"/>
    <s v="Thermal Solar"/>
    <s v="Financing"/>
    <n v="33.333333333333336"/>
    <n v="3.7935757729999998E-2"/>
    <n v="1.5174303091999999"/>
    <m/>
    <n v="33.333333333333336"/>
    <m/>
  </r>
  <r>
    <x v="17"/>
    <x v="62"/>
    <s v="Multilateral"/>
    <n v="100000000"/>
    <m/>
    <m/>
    <m/>
    <x v="279"/>
    <s v="https://ijglobal.com/data/transaction/36031/west-nile-csp-plant-100mw"/>
    <x v="3"/>
    <x v="7"/>
    <x v="32"/>
    <m/>
    <m/>
    <m/>
    <m/>
    <x v="3"/>
    <s v="Thermal Solar"/>
    <s v="Pre-financing"/>
    <n v="14.285714285714286"/>
    <n v="1.6258181884285714E-2"/>
    <n v="0.65032727537142854"/>
    <m/>
    <n v="14.285714285714286"/>
    <m/>
  </r>
  <r>
    <x v="17"/>
    <x v="62"/>
    <s v="Multilateral"/>
    <n v="0"/>
    <m/>
    <m/>
    <m/>
    <x v="423"/>
    <s v="https://ijglobal.com/data/transaction/30481/yereimentau-wind-plant-50mw"/>
    <x v="3"/>
    <x v="8"/>
    <x v="51"/>
    <m/>
    <m/>
    <m/>
    <m/>
    <x v="3"/>
    <s v="Onshore Wind"/>
    <s v="Financing"/>
    <n v="25"/>
    <n v="2.8451818297500001E-2"/>
    <n v="1.1380727318999999"/>
    <m/>
    <n v="25"/>
    <m/>
  </r>
  <r>
    <x v="17"/>
    <x v="66"/>
    <s v="Multilateral"/>
    <n v="17600000"/>
    <m/>
    <m/>
    <m/>
    <x v="424"/>
    <s v="https://ijglobal.com/data/transaction/34355/scatec-segou-solar-pv-plant-33mw"/>
    <x v="3"/>
    <x v="0"/>
    <x v="81"/>
    <m/>
    <m/>
    <m/>
    <m/>
    <x v="3"/>
    <s v="Photovoltaic Solar"/>
    <s v="Financing"/>
    <n v="16.5"/>
    <n v="1.8778200076350001E-2"/>
    <n v="0.75112800305400007"/>
    <m/>
    <n v="16.5"/>
    <m/>
  </r>
  <r>
    <x v="17"/>
    <x v="3"/>
    <s v="Multilateral"/>
    <n v="35940000"/>
    <m/>
    <m/>
    <m/>
    <x v="425"/>
    <s v="https://ijglobal.com/data/transaction/34925/banie-wind-farm-106mw"/>
    <x v="3"/>
    <x v="3"/>
    <x v="78"/>
    <m/>
    <m/>
    <m/>
    <m/>
    <x v="3"/>
    <s v="Onshore Wind"/>
    <s v="Financing"/>
    <n v="106"/>
    <n v="0.12063570958140001"/>
    <n v="4.8254283832559999"/>
    <m/>
    <n v="106"/>
    <m/>
  </r>
  <r>
    <x v="17"/>
    <x v="3"/>
    <s v="Multilateral"/>
    <n v="47170000"/>
    <m/>
    <m/>
    <m/>
    <x v="426"/>
    <s v="https://ijglobal.com/data/transaction/35614/banie-wind-farm-phase-2-56mw"/>
    <x v="3"/>
    <x v="3"/>
    <x v="78"/>
    <m/>
    <m/>
    <m/>
    <m/>
    <x v="3"/>
    <s v="Onshore Wind"/>
    <s v="Financing"/>
    <n v="56"/>
    <n v="6.3732072986400004E-2"/>
    <n v="2.5492829194560001"/>
    <m/>
    <n v="56"/>
    <m/>
  </r>
  <r>
    <x v="17"/>
    <x v="3"/>
    <s v="Multilateral"/>
    <n v="83000000"/>
    <m/>
    <m/>
    <m/>
    <x v="427"/>
    <s v="https://ijglobal.com/data/transaction/16716/boskov-most-hydro-power-plant-70mw"/>
    <x v="3"/>
    <x v="3"/>
    <x v="61"/>
    <m/>
    <m/>
    <m/>
    <m/>
    <x v="3"/>
    <s v="Small Hydro"/>
    <s v="Financing"/>
    <n v="70"/>
    <n v="7.9665091233000015E-2"/>
    <n v="3.1866036493200007"/>
    <m/>
    <n v="70"/>
    <m/>
  </r>
  <r>
    <x v="17"/>
    <x v="3"/>
    <s v="Multilateral"/>
    <n v="30000000"/>
    <m/>
    <m/>
    <m/>
    <x v="428"/>
    <s v="https://ijglobal.com/data/transaction/36972/gulshat-pv-solar-plant-48mw"/>
    <x v="3"/>
    <x v="8"/>
    <x v="51"/>
    <m/>
    <m/>
    <m/>
    <m/>
    <x v="3"/>
    <s v="Photovoltaic Solar"/>
    <s v="Financing"/>
    <n v="48"/>
    <n v="5.4627491131199996E-2"/>
    <n v="2.185099645248"/>
    <m/>
    <n v="48"/>
    <m/>
  </r>
  <r>
    <x v="17"/>
    <x v="3"/>
    <s v="Multilateral"/>
    <n v="45200000"/>
    <m/>
    <m/>
    <m/>
    <x v="429"/>
    <s v="https://ijglobal.com/data/transaction/34054/imavere-and-38mw-osula-biomass-chp-plants-38mw"/>
    <x v="3"/>
    <x v="3"/>
    <x v="82"/>
    <m/>
    <m/>
    <m/>
    <m/>
    <x v="3"/>
    <s v="Biomass,Co Generation"/>
    <s v="Financing"/>
    <n v="38"/>
    <n v="4.3246763812200002E-2"/>
    <n v="1.729870552488"/>
    <m/>
    <n v="38"/>
    <m/>
  </r>
  <r>
    <x v="17"/>
    <x v="3"/>
    <s v="Multilateral"/>
    <n v="26000000"/>
    <m/>
    <m/>
    <m/>
    <x v="430"/>
    <s v="https://ijglobal.com/data/transaction/36519/kulan-pv-solar-farm-29mw"/>
    <x v="3"/>
    <x v="8"/>
    <x v="51"/>
    <m/>
    <m/>
    <m/>
    <m/>
    <x v="3"/>
    <s v="Photovoltaic Solar"/>
    <s v="Financing"/>
    <n v="29"/>
    <n v="3.3004109225100005E-2"/>
    <n v="1.3201643690040001"/>
    <m/>
    <n v="29"/>
    <m/>
  </r>
  <r>
    <x v="17"/>
    <x v="3"/>
    <s v="Multilateral"/>
    <n v="27000000"/>
    <m/>
    <m/>
    <m/>
    <x v="431"/>
    <s v="https://ijglobal.com/data/transaction/36062/mafraq-solar-pv-plant-603mw"/>
    <x v="3"/>
    <x v="7"/>
    <x v="56"/>
    <m/>
    <m/>
    <m/>
    <m/>
    <x v="3"/>
    <s v="Photovoltaic Solar"/>
    <s v="Financing"/>
    <n v="60.3"/>
    <n v="6.8625785733570019E-2"/>
    <n v="2.7450314293428009"/>
    <m/>
    <n v="60.3"/>
    <m/>
  </r>
  <r>
    <x v="17"/>
    <x v="3"/>
    <s v="Multilateral"/>
    <n v="53760000"/>
    <m/>
    <m/>
    <m/>
    <x v="432"/>
    <s v="https://ijglobal.com/data/transaction/36984/terna-energy-additional-facility-2016"/>
    <x v="3"/>
    <x v="3"/>
    <x v="35"/>
    <m/>
    <m/>
    <m/>
    <m/>
    <x v="3"/>
    <s v="Onshore Wind"/>
    <s v="Financing"/>
    <m/>
    <n v="0"/>
    <n v="0"/>
    <m/>
    <m/>
    <m/>
  </r>
  <r>
    <x v="17"/>
    <x v="3"/>
    <s v="Multilateral"/>
    <n v="0"/>
    <m/>
    <m/>
    <m/>
    <x v="423"/>
    <s v="https://ijglobal.com/data/transaction/30481/yereimentau-wind-plant-50mw"/>
    <x v="3"/>
    <x v="8"/>
    <x v="51"/>
    <m/>
    <m/>
    <m/>
    <m/>
    <x v="3"/>
    <s v="Onshore Wind"/>
    <s v="Financing"/>
    <n v="25"/>
    <n v="2.8451818297500001E-2"/>
    <n v="1.1380727318999999"/>
    <m/>
    <n v="25"/>
    <m/>
  </r>
  <r>
    <x v="17"/>
    <x v="60"/>
    <s v="Multilateral"/>
    <n v="100460000"/>
    <m/>
    <m/>
    <m/>
    <x v="202"/>
    <s v="https://ijglobal.com/data/transaction/27999/kiwano-solar-thermal-plant-100mw"/>
    <x v="3"/>
    <x v="0"/>
    <x v="1"/>
    <m/>
    <m/>
    <m/>
    <m/>
    <x v="3"/>
    <s v="Thermal Solar"/>
    <s v="Financing"/>
    <n v="16.666666666666668"/>
    <n v="1.8967878864999999E-2"/>
    <n v="0.75871515459999994"/>
    <m/>
    <n v="16.666666666666668"/>
    <m/>
  </r>
  <r>
    <x v="17"/>
    <x v="60"/>
    <s v="Multilateral"/>
    <n v="216060000"/>
    <m/>
    <m/>
    <m/>
    <x v="282"/>
    <s v="https://ijglobal.com/data/transaction/28728/morocco-onee-wind-power-programme-850mw"/>
    <x v="3"/>
    <x v="7"/>
    <x v="21"/>
    <m/>
    <m/>
    <m/>
    <m/>
    <x v="3"/>
    <s v="Onshore Wind"/>
    <s v="Financing"/>
    <n v="212.5"/>
    <n v="0.24184045552875"/>
    <n v="9.6736182211500008"/>
    <m/>
    <n v="212.5"/>
    <m/>
  </r>
  <r>
    <x v="17"/>
    <x v="60"/>
    <s v="Multilateral"/>
    <n v="29410000"/>
    <m/>
    <m/>
    <m/>
    <x v="174"/>
    <s v="https://ijglobal.com/data/transaction/31751/ouagadougou-solar-pv-plant-30mw"/>
    <x v="3"/>
    <x v="0"/>
    <x v="55"/>
    <m/>
    <m/>
    <m/>
    <m/>
    <x v="3"/>
    <s v="Photovoltaic Solar"/>
    <s v="Financing"/>
    <n v="15"/>
    <n v="1.7071090978500004E-2"/>
    <n v="0.68284363914000012"/>
    <m/>
    <n v="15"/>
    <m/>
  </r>
  <r>
    <x v="17"/>
    <x v="60"/>
    <s v="Multilateral"/>
    <n v="27240000"/>
    <m/>
    <m/>
    <m/>
    <x v="433"/>
    <s v="https://ijglobal.com/data/transaction/34377/portugal-floating-offshore-wind-25mw"/>
    <x v="3"/>
    <x v="3"/>
    <x v="83"/>
    <m/>
    <m/>
    <m/>
    <m/>
    <x v="3"/>
    <s v="Offshore Wind"/>
    <s v="Financing"/>
    <n v="25"/>
    <n v="2.8451818297500001E-2"/>
    <n v="1.1380727318999999"/>
    <m/>
    <n v="25"/>
    <m/>
  </r>
  <r>
    <x v="17"/>
    <x v="60"/>
    <s v="Multilateral"/>
    <n v="60000000"/>
    <m/>
    <m/>
    <m/>
    <x v="170"/>
    <s v="https://ijglobal.com/data/transaction/28561/sainshand-wind-farm-55mw"/>
    <x v="3"/>
    <x v="8"/>
    <x v="38"/>
    <m/>
    <m/>
    <m/>
    <m/>
    <x v="3"/>
    <s v="Onshore Wind"/>
    <s v="Financing"/>
    <n v="55"/>
    <n v="6.2594000254499987E-2"/>
    <n v="2.5037600101799997"/>
    <m/>
    <n v="55"/>
    <m/>
  </r>
  <r>
    <x v="17"/>
    <x v="60"/>
    <s v="Multilateral"/>
    <n v="0"/>
    <m/>
    <m/>
    <m/>
    <x v="434"/>
    <s v="https://ijglobal.com/data/transaction/19473/tees-renewable-energy-plant-299mw"/>
    <x v="3"/>
    <x v="3"/>
    <x v="52"/>
    <s v="England"/>
    <m/>
    <m/>
    <m/>
    <x v="3"/>
    <s v="Biomass"/>
    <s v="Financing"/>
    <n v="299"/>
    <n v="0.34028374683809998"/>
    <n v="13.611349873523999"/>
    <m/>
    <n v="299"/>
    <m/>
  </r>
  <r>
    <x v="17"/>
    <x v="60"/>
    <s v="Multilateral"/>
    <n v="28500000"/>
    <m/>
    <m/>
    <m/>
    <x v="279"/>
    <s v="https://ijglobal.com/data/transaction/36031/west-nile-csp-plant-100mw"/>
    <x v="3"/>
    <x v="7"/>
    <x v="32"/>
    <m/>
    <m/>
    <m/>
    <m/>
    <x v="3"/>
    <s v="Thermal Solar"/>
    <s v="Pre-financing"/>
    <n v="14.285714285714286"/>
    <n v="1.6258181884285714E-2"/>
    <n v="0.65032727537142854"/>
    <m/>
    <n v="14.285714285714286"/>
    <m/>
  </r>
  <r>
    <x v="17"/>
    <x v="61"/>
    <s v="Multilateral"/>
    <n v="0"/>
    <m/>
    <m/>
    <m/>
    <x v="172"/>
    <s v="https://ijglobal.com/data/transaction/34017/atacama-1-solar-complex-210mw"/>
    <x v="3"/>
    <x v="4"/>
    <x v="10"/>
    <m/>
    <m/>
    <m/>
    <m/>
    <x v="3"/>
    <s v="Photovoltaic Solar,Thermal Solar"/>
    <s v="Financing"/>
    <n v="70"/>
    <n v="7.9665091233000015E-2"/>
    <n v="3.1866036493200007"/>
    <m/>
    <n v="70"/>
    <m/>
  </r>
  <r>
    <x v="17"/>
    <x v="61"/>
    <s v="Multilateral"/>
    <n v="12000000"/>
    <m/>
    <m/>
    <m/>
    <x v="435"/>
    <s v="https://ijglobal.com/data/transaction/31364/los-molinos-hydro-power-plants-398mw"/>
    <x v="3"/>
    <x v="4"/>
    <x v="31"/>
    <m/>
    <m/>
    <m/>
    <m/>
    <x v="3"/>
    <s v="Small Hydro"/>
    <s v="Financing"/>
    <n v="19.899999999999999"/>
    <n v="2.2647647364810002E-2"/>
    <n v="0.90590589459240012"/>
    <m/>
    <n v="19.899999999999999"/>
    <m/>
  </r>
  <r>
    <x v="17"/>
    <x v="67"/>
    <s v="Multilateral"/>
    <n v="40000000"/>
    <m/>
    <m/>
    <m/>
    <x v="436"/>
    <s v="https://ijglobal.com/data/transaction/31138/kabeli-a-hydroelectric-project-ipp-376mw"/>
    <x v="3"/>
    <x v="5"/>
    <x v="9"/>
    <m/>
    <m/>
    <m/>
    <m/>
    <x v="3"/>
    <s v="Small Hydro"/>
    <s v="Financing"/>
    <n v="12.533333333333333"/>
    <n v="1.426384490648E-2"/>
    <n v="0.5705537962592"/>
    <m/>
    <n v="12.533333333333333"/>
    <m/>
  </r>
  <r>
    <x v="17"/>
    <x v="67"/>
    <s v="Multilateral"/>
    <n v="6000000"/>
    <m/>
    <m/>
    <m/>
    <x v="436"/>
    <s v="https://ijglobal.com/data/transaction/31138/kabeli-a-hydroelectric-project-ipp-376mw"/>
    <x v="3"/>
    <x v="5"/>
    <x v="9"/>
    <m/>
    <m/>
    <m/>
    <m/>
    <x v="3"/>
    <s v="Small Hydro"/>
    <s v="Financing"/>
    <n v="12.533333333333333"/>
    <n v="1.426384490648E-2"/>
    <n v="0.5705537962592"/>
    <m/>
    <n v="12.533333333333333"/>
    <m/>
  </r>
  <r>
    <x v="17"/>
    <x v="57"/>
    <s v="Multilateral"/>
    <n v="31470000"/>
    <s v="ACME Solar"/>
    <m/>
    <m/>
    <x v="437"/>
    <s v="https://ijglobal.com/data/transaction/31728/acme-solar-project-100mw"/>
    <x v="3"/>
    <x v="5"/>
    <x v="50"/>
    <s v="Rajasthan"/>
    <m/>
    <m/>
    <m/>
    <x v="3"/>
    <s v="Photovoltaic Solar"/>
    <s v="Financing"/>
    <n v="100"/>
    <n v="0.11380727319"/>
    <n v="4.5522909275999996"/>
    <m/>
    <n v="100"/>
    <m/>
  </r>
  <r>
    <x v="17"/>
    <x v="57"/>
    <s v="Multilateral"/>
    <n v="20000000"/>
    <m/>
    <m/>
    <m/>
    <x v="438"/>
    <s v="https://ijglobal.com/data/transaction/36059/alcazar-energy-solar-1-pv-plant-50mw"/>
    <x v="3"/>
    <x v="7"/>
    <x v="32"/>
    <m/>
    <m/>
    <m/>
    <m/>
    <x v="3"/>
    <s v="Photovoltaic Solar"/>
    <s v="Financing"/>
    <n v="50"/>
    <n v="5.6903636595000001E-2"/>
    <n v="2.2761454637999998"/>
    <m/>
    <n v="50"/>
    <m/>
  </r>
  <r>
    <x v="17"/>
    <x v="57"/>
    <s v="Multilateral"/>
    <n v="20000000"/>
    <m/>
    <m/>
    <m/>
    <x v="439"/>
    <s v="https://ijglobal.com/data/transaction/36061/alcom-energy-solar-pv-plant-50mw"/>
    <x v="3"/>
    <x v="7"/>
    <x v="32"/>
    <m/>
    <m/>
    <m/>
    <m/>
    <x v="3"/>
    <s v="Photovoltaic Solar"/>
    <s v="Financing"/>
    <n v="50"/>
    <n v="5.6903636595000001E-2"/>
    <n v="2.2761454637999998"/>
    <m/>
    <n v="50"/>
    <m/>
  </r>
  <r>
    <x v="17"/>
    <x v="57"/>
    <s v="Multilateral"/>
    <n v="13030000"/>
    <s v="Azure Clean Energy Private Ltd"/>
    <m/>
    <m/>
    <x v="440"/>
    <s v="https://ijglobal.com/data/transaction/31299/azure-jodhpur-solar-pv-plant-40mw"/>
    <x v="3"/>
    <x v="5"/>
    <x v="50"/>
    <s v="Rajasthan"/>
    <m/>
    <m/>
    <m/>
    <x v="3"/>
    <s v="Photovoltaic Solar"/>
    <s v="Financing"/>
    <n v="40"/>
    <n v="4.5522909275999994E-2"/>
    <n v="1.8209163710399998"/>
    <m/>
    <n v="40"/>
    <m/>
  </r>
  <r>
    <x v="17"/>
    <x v="57"/>
    <s v="Multilateral"/>
    <n v="0"/>
    <s v="Akuo Energy"/>
    <m/>
    <m/>
    <x v="441"/>
    <s v="https://ijglobal.com/data/transaction/33728/baglar-res-wind-farm-775mw"/>
    <x v="3"/>
    <x v="3"/>
    <x v="46"/>
    <m/>
    <m/>
    <m/>
    <m/>
    <x v="3"/>
    <s v="Onshore Wind"/>
    <s v="Financing"/>
    <n v="77.5"/>
    <n v="8.8200636722250009E-2"/>
    <n v="3.5280254688900001"/>
    <m/>
    <n v="77.5"/>
    <m/>
  </r>
  <r>
    <x v="17"/>
    <x v="57"/>
    <s v="Multilateral"/>
    <n v="117000000"/>
    <m/>
    <m/>
    <m/>
    <x v="442"/>
    <s v="https://ijglobal.com/data/transaction/36032/cemex-ifc-facility"/>
    <x v="3"/>
    <x v="4"/>
    <x v="76"/>
    <m/>
    <m/>
    <m/>
    <m/>
    <x v="3"/>
    <s v="Manufacturing,Onshore Wind"/>
    <s v="Financing"/>
    <m/>
    <n v="0"/>
    <n v="0"/>
    <m/>
    <m/>
    <m/>
  </r>
  <r>
    <x v="17"/>
    <x v="57"/>
    <s v="Multilateral"/>
    <n v="42080000"/>
    <m/>
    <m/>
    <m/>
    <x v="443"/>
    <s v="https://ijglobal.com/data/transaction/36069/cerradinho-bioenergia-biomass-capacity-expansion"/>
    <x v="3"/>
    <x v="4"/>
    <x v="29"/>
    <s v="Goiás"/>
    <m/>
    <m/>
    <m/>
    <x v="3"/>
    <s v="Biomass"/>
    <s v="Financing"/>
    <m/>
    <n v="0"/>
    <n v="0"/>
    <m/>
    <m/>
    <m/>
  </r>
  <r>
    <x v="17"/>
    <x v="57"/>
    <s v="Multilateral"/>
    <n v="47080000"/>
    <m/>
    <m/>
    <m/>
    <x v="444"/>
    <s v="https://ijglobal.com/data/transaction/36497/cerradinhobio-ifc-facility"/>
    <x v="3"/>
    <x v="4"/>
    <x v="29"/>
    <s v="Goiás"/>
    <m/>
    <m/>
    <m/>
    <x v="3"/>
    <s v="Biomass"/>
    <s v="Financing"/>
    <m/>
    <n v="0"/>
    <n v="0"/>
    <m/>
    <m/>
    <m/>
  </r>
  <r>
    <x v="17"/>
    <x v="57"/>
    <s v="Multilateral"/>
    <n v="45850000"/>
    <m/>
    <m/>
    <m/>
    <x v="445"/>
    <s v="https://ijglobal.com/data/transaction/31614/continuum-madhya-pradesh-wind-farm-170mw"/>
    <x v="3"/>
    <x v="5"/>
    <x v="50"/>
    <s v="Madhya Pradesh"/>
    <m/>
    <m/>
    <m/>
    <x v="3"/>
    <s v="Onshore Wind"/>
    <s v="Financing"/>
    <n v="170"/>
    <n v="0.19347236442300003"/>
    <n v="7.7388945769200017"/>
    <m/>
    <n v="170"/>
    <m/>
  </r>
  <r>
    <x v="17"/>
    <x v="57"/>
    <s v="Multilateral"/>
    <n v="41250000"/>
    <m/>
    <m/>
    <m/>
    <x v="446"/>
    <s v="https://ijglobal.com/data/transaction/35940/daehan-wind-farm-50mw"/>
    <x v="3"/>
    <x v="7"/>
    <x v="56"/>
    <m/>
    <m/>
    <m/>
    <m/>
    <x v="3"/>
    <s v="Onshore Wind"/>
    <s v="Financing"/>
    <n v="25"/>
    <n v="2.8451818297500001E-2"/>
    <n v="1.1380727318999999"/>
    <m/>
    <n v="25"/>
    <m/>
  </r>
  <r>
    <x v="17"/>
    <x v="57"/>
    <s v="Multilateral"/>
    <n v="20000000"/>
    <m/>
    <m/>
    <m/>
    <x v="447"/>
    <s v="https://ijglobal.com/data/transaction/36038/delta-solar-pv-plant-50mw"/>
    <x v="3"/>
    <x v="7"/>
    <x v="32"/>
    <m/>
    <m/>
    <m/>
    <m/>
    <x v="3"/>
    <s v="Photovoltaic Solar"/>
    <s v="Financing"/>
    <n v="50"/>
    <n v="5.6903636595000001E-2"/>
    <n v="2.2761454637999998"/>
    <m/>
    <n v="50"/>
    <m/>
  </r>
  <r>
    <x v="17"/>
    <x v="57"/>
    <s v="Multilateral"/>
    <n v="55050000"/>
    <m/>
    <m/>
    <m/>
    <x v="281"/>
    <s v="https://ijglobal.com/data/transaction/32811/dolovo-wind-farm-158mw"/>
    <x v="3"/>
    <x v="3"/>
    <x v="5"/>
    <m/>
    <m/>
    <m/>
    <m/>
    <x v="3"/>
    <s v="Onshore Wind"/>
    <s v="Financing"/>
    <n v="52.666666666666664"/>
    <n v="5.9938497213399999E-2"/>
    <n v="2.397539888536"/>
    <m/>
    <n v="52.666666666666664"/>
    <m/>
  </r>
  <r>
    <x v="17"/>
    <x v="57"/>
    <s v="Multilateral"/>
    <n v="30580000"/>
    <m/>
    <m/>
    <m/>
    <x v="281"/>
    <s v="https://ijglobal.com/data/transaction/32811/dolovo-wind-farm-158mw"/>
    <x v="3"/>
    <x v="3"/>
    <x v="5"/>
    <m/>
    <m/>
    <m/>
    <m/>
    <x v="3"/>
    <s v="Onshore Wind"/>
    <s v="Financing"/>
    <n v="52.666666666666664"/>
    <n v="5.9938497213399999E-2"/>
    <n v="2.397539888536"/>
    <m/>
    <n v="52.666666666666664"/>
    <m/>
  </r>
  <r>
    <x v="17"/>
    <x v="57"/>
    <s v="Multilateral"/>
    <n v="20000000"/>
    <m/>
    <m/>
    <m/>
    <x v="448"/>
    <s v="https://ijglobal.com/data/transaction/36046/gestamp-solar-pv-plant-50mw"/>
    <x v="3"/>
    <x v="7"/>
    <x v="32"/>
    <m/>
    <m/>
    <m/>
    <m/>
    <x v="3"/>
    <s v="Photovoltaic Solar"/>
    <s v="Financing"/>
    <n v="50"/>
    <n v="5.6903636595000001E-2"/>
    <n v="2.2761454637999998"/>
    <m/>
    <n v="50"/>
    <m/>
  </r>
  <r>
    <x v="17"/>
    <x v="57"/>
    <s v="Multilateral"/>
    <n v="59000000"/>
    <s v="Green Infra"/>
    <m/>
    <m/>
    <x v="449"/>
    <s v="https://ijglobal.com/data/transaction/32430/green-infra-wind-farm-portfolio-1824mw"/>
    <x v="3"/>
    <x v="5"/>
    <x v="50"/>
    <s v="Madhya Pradesh, Maharashtra, Rajasthan"/>
    <m/>
    <m/>
    <m/>
    <x v="3"/>
    <s v="Onshore Wind"/>
    <s v="Financing"/>
    <n v="182.4"/>
    <n v="0.20758446629856001"/>
    <n v="8.3033786519424009"/>
    <m/>
    <n v="182.4"/>
    <m/>
  </r>
  <r>
    <x v="17"/>
    <x v="57"/>
    <s v="Multilateral"/>
    <n v="41300000"/>
    <m/>
    <m/>
    <m/>
    <x v="450"/>
    <s v="https://ijglobal.com/data/transaction/34887/horus-solar-pv-plant-93mw"/>
    <x v="3"/>
    <x v="4"/>
    <x v="84"/>
    <m/>
    <m/>
    <m/>
    <m/>
    <x v="3"/>
    <s v="Photovoltaic Solar"/>
    <s v="Financing"/>
    <n v="93"/>
    <n v="0.10584076406670002"/>
    <n v="4.2336305626680009"/>
    <m/>
    <n v="93"/>
    <m/>
  </r>
  <r>
    <x v="17"/>
    <x v="57"/>
    <s v="Multilateral"/>
    <n v="48000000"/>
    <m/>
    <m/>
    <m/>
    <x v="171"/>
    <s v="https://ijglobal.com/data/transaction/16820/jeneponto-1-wind-farm-625mw"/>
    <x v="3"/>
    <x v="6"/>
    <x v="20"/>
    <m/>
    <m/>
    <m/>
    <m/>
    <x v="3"/>
    <s v="Onshore Wind"/>
    <s v="Financing"/>
    <n v="20.83"/>
    <n v="2.3706055005477001E-2"/>
    <n v="0.94824220021908001"/>
    <m/>
    <n v="20.83"/>
    <m/>
  </r>
  <r>
    <x v="17"/>
    <x v="57"/>
    <s v="Multilateral"/>
    <n v="19300000"/>
    <m/>
    <m/>
    <m/>
    <x v="436"/>
    <s v="https://ijglobal.com/data/transaction/31138/kabeli-a-hydroelectric-project-ipp-376mw"/>
    <x v="3"/>
    <x v="5"/>
    <x v="9"/>
    <m/>
    <m/>
    <m/>
    <m/>
    <x v="3"/>
    <s v="Small Hydro"/>
    <s v="Financing"/>
    <n v="12.533333333333333"/>
    <n v="1.426384490648E-2"/>
    <n v="0.5705537962592"/>
    <m/>
    <n v="12.533333333333333"/>
    <m/>
  </r>
  <r>
    <x v="17"/>
    <x v="57"/>
    <s v="Multilateral"/>
    <n v="12500000"/>
    <m/>
    <m/>
    <m/>
    <x v="451"/>
    <s v="https://ijglobal.com/data/transaction/37052/ktda-run-of-river-hydro-power-plants-16mw"/>
    <x v="3"/>
    <x v="0"/>
    <x v="49"/>
    <m/>
    <m/>
    <m/>
    <m/>
    <x v="3"/>
    <s v="Small Hydro"/>
    <s v="Financing"/>
    <n v="16"/>
    <n v="1.82091637104E-2"/>
    <n v="0.72836654841600001"/>
    <m/>
    <n v="16"/>
    <m/>
  </r>
  <r>
    <x v="17"/>
    <x v="57"/>
    <s v="Multilateral"/>
    <n v="22500000"/>
    <s v="Metro Power Company"/>
    <m/>
    <m/>
    <x v="452"/>
    <s v="https://ijglobal.com/data/transaction/30039/metro-power-sindh-wind-farm-50mw"/>
    <x v="3"/>
    <x v="5"/>
    <x v="19"/>
    <m/>
    <m/>
    <m/>
    <m/>
    <x v="3"/>
    <s v="Onshore Wind"/>
    <s v="Financial Close"/>
    <m/>
    <n v="0"/>
    <n v="0"/>
    <m/>
    <m/>
    <m/>
  </r>
  <r>
    <x v="17"/>
    <x v="57"/>
    <s v="Multilateral"/>
    <n v="0"/>
    <m/>
    <m/>
    <m/>
    <x v="435"/>
    <s v="https://ijglobal.com/data/transaction/31364/los-molinos-hydro-power-plants-398mw"/>
    <x v="3"/>
    <x v="4"/>
    <x v="31"/>
    <m/>
    <m/>
    <m/>
    <m/>
    <x v="3"/>
    <s v="Small Hydro"/>
    <s v="Financing"/>
    <n v="19.899999999999999"/>
    <n v="2.2647647364810002E-2"/>
    <n v="0.90590589459240012"/>
    <m/>
    <n v="19.899999999999999"/>
    <m/>
  </r>
  <r>
    <x v="17"/>
    <x v="57"/>
    <s v="Multilateral"/>
    <n v="14000000"/>
    <m/>
    <m/>
    <m/>
    <x v="453"/>
    <s v="https://ijglobal.com/data/transaction/37463/lusaka-solar-pv-plant-55mw"/>
    <x v="3"/>
    <x v="0"/>
    <x v="25"/>
    <m/>
    <m/>
    <m/>
    <m/>
    <x v="3"/>
    <s v="Photovoltaic Solar"/>
    <s v="Financing"/>
    <n v="27.5"/>
    <n v="3.1297000127249994E-2"/>
    <n v="1.2518800050899999"/>
    <m/>
    <n v="27.5"/>
    <m/>
  </r>
  <r>
    <x v="17"/>
    <x v="57"/>
    <s v="Multilateral"/>
    <n v="200000000"/>
    <m/>
    <m/>
    <m/>
    <x v="454"/>
    <s v="https://ijglobal.com/data/transaction/35555/masdar-jordan-solar-pv-plant-200mw"/>
    <x v="3"/>
    <x v="7"/>
    <x v="56"/>
    <m/>
    <m/>
    <m/>
    <m/>
    <x v="3"/>
    <s v="Photovoltaic Solar"/>
    <s v="Financing"/>
    <n v="200"/>
    <n v="0.22761454638"/>
    <n v="9.1045818551999993"/>
    <m/>
    <n v="200"/>
    <m/>
  </r>
  <r>
    <x v="17"/>
    <x v="57"/>
    <s v="Multilateral"/>
    <n v="63000000"/>
    <m/>
    <m/>
    <m/>
    <x v="455"/>
    <s v="https://ijglobal.com/data/transaction/35562/mocuba-solar-pv-plant-405mw"/>
    <x v="3"/>
    <x v="0"/>
    <x v="40"/>
    <m/>
    <m/>
    <m/>
    <m/>
    <x v="3"/>
    <s v="Photovoltaic Solar"/>
    <s v="Financing"/>
    <n v="40.5"/>
    <n v="4.6091945641950009E-2"/>
    <n v="1.8436778256780004"/>
    <m/>
    <n v="40.5"/>
    <m/>
  </r>
  <r>
    <x v="17"/>
    <x v="57"/>
    <s v="Multilateral"/>
    <n v="72000000"/>
    <m/>
    <m/>
    <m/>
    <x v="199"/>
    <s v="https://ijglobal.com/data/transaction/32729/redstone-csp-plant-100mw"/>
    <x v="3"/>
    <x v="0"/>
    <x v="1"/>
    <m/>
    <m/>
    <m/>
    <m/>
    <x v="3"/>
    <s v="Thermal Solar"/>
    <s v="Financing"/>
    <n v="33.333333333333336"/>
    <n v="3.7935757729999998E-2"/>
    <n v="1.5174303091999999"/>
    <m/>
    <n v="33.333333333333336"/>
    <m/>
  </r>
  <r>
    <x v="17"/>
    <x v="57"/>
    <s v="Multilateral"/>
    <n v="25300000"/>
    <m/>
    <m/>
    <m/>
    <x v="424"/>
    <s v="https://ijglobal.com/data/transaction/34355/scatec-segou-solar-pv-plant-33mw"/>
    <x v="3"/>
    <x v="0"/>
    <x v="81"/>
    <m/>
    <m/>
    <m/>
    <m/>
    <x v="3"/>
    <s v="Photovoltaic Solar"/>
    <s v="Financing"/>
    <n v="16.5"/>
    <n v="1.8778200076350001E-2"/>
    <n v="0.75112800305400007"/>
    <m/>
    <n v="16.5"/>
    <m/>
  </r>
  <r>
    <x v="17"/>
    <x v="57"/>
    <s v="Multilateral"/>
    <n v="27500000"/>
    <m/>
    <m/>
    <m/>
    <x v="456"/>
    <s v="https://ijglobal.com/data/transaction/37508/tafila-wind-farm-495-mw"/>
    <x v="3"/>
    <x v="7"/>
    <x v="56"/>
    <m/>
    <m/>
    <m/>
    <m/>
    <x v="3"/>
    <s v="Onshore Wind"/>
    <s v="Financing"/>
    <n v="24.75"/>
    <n v="2.8167300114525003E-2"/>
    <n v="1.1266920045810001"/>
    <m/>
    <n v="24.75"/>
    <m/>
  </r>
  <r>
    <x v="17"/>
    <x v="57"/>
    <s v="Multilateral"/>
    <n v="5500000"/>
    <m/>
    <m/>
    <m/>
    <x v="456"/>
    <s v="https://ijglobal.com/data/transaction/37508/tafila-wind-farm-495-mw"/>
    <x v="3"/>
    <x v="7"/>
    <x v="56"/>
    <m/>
    <m/>
    <m/>
    <m/>
    <x v="3"/>
    <s v="Onshore Wind"/>
    <s v="Financing"/>
    <n v="24.75"/>
    <n v="2.8167300114525003E-2"/>
    <n v="1.1266920045810001"/>
    <m/>
    <n v="24.75"/>
    <m/>
  </r>
  <r>
    <x v="17"/>
    <x v="57"/>
    <s v="Multilateral"/>
    <n v="20000000"/>
    <m/>
    <m/>
    <m/>
    <x v="457"/>
    <s v="https://ijglobal.com/data/transaction/36047/taqa-arabia-solar-pv-plant-50mw"/>
    <x v="3"/>
    <x v="7"/>
    <x v="32"/>
    <m/>
    <m/>
    <m/>
    <m/>
    <x v="3"/>
    <s v="Photovoltaic Solar"/>
    <s v="Financing"/>
    <n v="50"/>
    <n v="5.6903636595000001E-2"/>
    <n v="2.2761454637999998"/>
    <m/>
    <n v="50"/>
    <m/>
  </r>
  <r>
    <x v="17"/>
    <x v="57"/>
    <s v="Multilateral"/>
    <n v="20000000"/>
    <m/>
    <m/>
    <m/>
    <x v="458"/>
    <s v="https://ijglobal.com/data/transaction/36048/taqa-solar-reserve-solar-pv-plant-50mw"/>
    <x v="3"/>
    <x v="7"/>
    <x v="32"/>
    <m/>
    <m/>
    <m/>
    <m/>
    <x v="3"/>
    <s v="Photovoltaic Solar"/>
    <s v="Financing"/>
    <n v="50"/>
    <n v="5.6903636595000001E-2"/>
    <n v="2.2761454637999998"/>
    <m/>
    <n v="50"/>
    <m/>
  </r>
  <r>
    <x v="17"/>
    <x v="57"/>
    <s v="Multilateral"/>
    <n v="300800000"/>
    <s v="Zabaleta &amp; Company, ThomasLloyd Group"/>
    <m/>
    <m/>
    <x v="459"/>
    <s v="https://ijglobal.com/data/transaction/29076/thomaslloyd-renewable-portfolio-financing"/>
    <x v="3"/>
    <x v="6"/>
    <x v="14"/>
    <m/>
    <s v=" solar and biomass plants"/>
    <m/>
    <m/>
    <x v="3"/>
    <s v="Biomass,Photovoltaic Solar"/>
    <s v="Financing"/>
    <m/>
    <n v="0"/>
    <n v="0"/>
    <m/>
    <m/>
    <m/>
  </r>
  <r>
    <x v="17"/>
    <x v="57"/>
    <s v="Multilateral"/>
    <n v="104700000"/>
    <m/>
    <m/>
    <m/>
    <x v="459"/>
    <s v="https://ijglobal.com/data/transaction/29076/thomaslloyd-renewable-portfolio-financing"/>
    <x v="3"/>
    <x v="6"/>
    <x v="14"/>
    <m/>
    <m/>
    <m/>
    <m/>
    <x v="3"/>
    <s v="Biomass,Photovoltaic Solar"/>
    <s v="Financing"/>
    <m/>
    <n v="0"/>
    <n v="0"/>
    <m/>
    <m/>
    <m/>
  </r>
  <r>
    <x v="17"/>
    <x v="57"/>
    <s v="Multilateral"/>
    <n v="117500000"/>
    <m/>
    <m/>
    <m/>
    <x v="459"/>
    <s v="https://ijglobal.com/data/transaction/29076/thomaslloyd-renewable-portfolio-financing"/>
    <x v="3"/>
    <x v="6"/>
    <x v="14"/>
    <m/>
    <m/>
    <m/>
    <m/>
    <x v="3"/>
    <s v="Biomass,Photovoltaic Solar"/>
    <s v="Financing"/>
    <m/>
    <n v="0"/>
    <n v="0"/>
    <m/>
    <m/>
    <m/>
  </r>
  <r>
    <x v="17"/>
    <x v="57"/>
    <s v="Multilateral"/>
    <n v="78600000"/>
    <m/>
    <m/>
    <m/>
    <x v="459"/>
    <s v="https://ijglobal.com/data/transaction/29076/thomaslloyd-renewable-portfolio-financing"/>
    <x v="3"/>
    <x v="6"/>
    <x v="14"/>
    <m/>
    <m/>
    <m/>
    <m/>
    <x v="3"/>
    <s v="Biomass,Photovoltaic Solar"/>
    <s v="Financing"/>
    <m/>
    <n v="0"/>
    <n v="0"/>
    <m/>
    <m/>
    <m/>
  </r>
  <r>
    <x v="17"/>
    <x v="57"/>
    <s v="Multilateral"/>
    <n v="11220000"/>
    <m/>
    <m/>
    <m/>
    <x v="460"/>
    <s v="https://ijglobal.com/data/transaction/30984/zina-solar-pv-plant-268mw"/>
    <x v="3"/>
    <x v="0"/>
    <x v="55"/>
    <m/>
    <m/>
    <m/>
    <m/>
    <x v="3"/>
    <s v="Photovoltaic Solar"/>
    <s v="Financing"/>
    <n v="26.8"/>
    <n v="3.0500349214920001E-2"/>
    <n v="1.2200139685968001"/>
    <m/>
    <n v="26.8"/>
    <m/>
  </r>
  <r>
    <x v="17"/>
    <x v="58"/>
    <s v="Multilateral"/>
    <n v="41250000"/>
    <m/>
    <m/>
    <m/>
    <x v="446"/>
    <s v="https://ijglobal.com/data/transaction/35940/daehan-wind-farm-50mw"/>
    <x v="3"/>
    <x v="7"/>
    <x v="56"/>
    <m/>
    <m/>
    <m/>
    <m/>
    <x v="3"/>
    <s v="Onshore Wind"/>
    <s v="Financing"/>
    <n v="25"/>
    <n v="2.8451818297500001E-2"/>
    <n v="1.1380727318999999"/>
    <m/>
    <n v="25"/>
    <m/>
  </r>
  <r>
    <x v="17"/>
    <x v="59"/>
    <s v="Multilateral"/>
    <n v="195000000"/>
    <m/>
    <m/>
    <m/>
    <x v="202"/>
    <s v="https://ijglobal.com/data/transaction/27999/kiwano-solar-thermal-plant-100mw"/>
    <x v="3"/>
    <x v="0"/>
    <x v="1"/>
    <m/>
    <m/>
    <m/>
    <m/>
    <x v="3"/>
    <s v="Thermal Solar"/>
    <s v="Financing"/>
    <n v="16.666666666666668"/>
    <n v="1.8967878864999999E-2"/>
    <n v="0.75871515459999994"/>
    <m/>
    <n v="16.666666666666668"/>
    <m/>
  </r>
  <r>
    <x v="17"/>
    <x v="59"/>
    <s v="Multilateral"/>
    <n v="85000000"/>
    <m/>
    <m/>
    <m/>
    <x v="279"/>
    <s v="https://ijglobal.com/data/transaction/36031/west-nile-csp-plant-100mw"/>
    <x v="3"/>
    <x v="7"/>
    <x v="32"/>
    <m/>
    <m/>
    <m/>
    <m/>
    <x v="3"/>
    <s v="Thermal Solar"/>
    <s v="Pre-financing"/>
    <n v="14.285714285714286"/>
    <n v="1.6258181884285714E-2"/>
    <n v="0.65032727537142854"/>
    <m/>
    <n v="14.285714285714286"/>
    <m/>
  </r>
  <r>
    <x v="17"/>
    <x v="61"/>
    <s v="Multilateral"/>
    <n v="55000000"/>
    <s v="Cubico Sustainable Investments, Alten Energías Renovables"/>
    <m/>
    <m/>
    <x v="461"/>
    <s v="https://ijglobal.com/data/transaction/37748/solem-solar-pv-complex-290mw"/>
    <x v="3"/>
    <x v="4"/>
    <x v="76"/>
    <s v="Aguascalientes"/>
    <s v="Financial close is expected as early as July-end 2017"/>
    <s v="https://ijglobal.com/articles/106946/financing-takes-shape-for-mexican-solar-pv"/>
    <m/>
    <x v="3"/>
    <s v="Photovoltaic Solar"/>
    <s v="Financing"/>
    <n v="145"/>
    <n v="0.16502054612550002"/>
    <n v="6.6008218450200005"/>
    <m/>
    <n v="145"/>
    <m/>
  </r>
  <r>
    <x v="17"/>
    <x v="57"/>
    <s v="Multilateral"/>
    <n v="70000000"/>
    <s v="Cubico Sustainable Investments, Alten Energías Renovables"/>
    <m/>
    <m/>
    <x v="461"/>
    <s v="https://ijglobal.com/data/transaction/37748/solem-solar-pv-complex-290mw"/>
    <x v="3"/>
    <x v="4"/>
    <x v="76"/>
    <s v="Aguascalientes"/>
    <s v="Financial close is expected as early as July-end 2017"/>
    <s v="https://ijglobal.com/articles/106946/financing-takes-shape-for-mexican-solar-pv"/>
    <m/>
    <x v="3"/>
    <s v="Photovoltaic Solar"/>
    <s v="Financing"/>
    <n v="145"/>
    <n v="0.16502054612550002"/>
    <n v="6.6008218450200005"/>
    <m/>
    <n v="145"/>
    <m/>
  </r>
  <r>
    <x v="18"/>
    <x v="68"/>
    <s v="Multilateral"/>
    <n v="22000000"/>
    <m/>
    <m/>
    <m/>
    <x v="462"/>
    <s v="https://ijglobal.com/data/transaction/26094/cerro-de-hula-wind-farm-expansion-financing-24mw"/>
    <x v="199"/>
    <x v="4"/>
    <x v="7"/>
    <m/>
    <m/>
    <m/>
    <m/>
    <x v="3"/>
    <s v="Onshore Wind"/>
    <s v="Financial Close"/>
    <n v="24"/>
    <n v="2.7313745565599998E-2"/>
    <n v="1.092549822624"/>
    <m/>
    <n v="24"/>
    <m/>
  </r>
  <r>
    <x v="18"/>
    <x v="69"/>
    <s v="Multilateral"/>
    <n v="20000000"/>
    <m/>
    <m/>
    <m/>
    <x v="371"/>
    <s v="https://ijglobal.com/data/transaction/28137/tafila-wind-farm-financing-117mw"/>
    <x v="168"/>
    <x v="7"/>
    <x v="56"/>
    <m/>
    <m/>
    <m/>
    <m/>
    <x v="3"/>
    <s v="Onshore Wind"/>
    <s v="Financial Close"/>
    <n v="58.5"/>
    <n v="6.6577254816149997E-2"/>
    <n v="2.663090192646"/>
    <m/>
    <n v="58.5"/>
    <m/>
  </r>
  <r>
    <x v="18"/>
    <x v="70"/>
    <s v="Multilateral"/>
    <n v="11500000"/>
    <m/>
    <m/>
    <m/>
    <x v="463"/>
    <s v="https://ijglobal.com/data/transaction/28551/agahozo-shalom-youth-pv-solar-plant-85mw"/>
    <x v="200"/>
    <x v="0"/>
    <x v="85"/>
    <m/>
    <m/>
    <m/>
    <m/>
    <x v="3"/>
    <s v="Photovoltaic Solar"/>
    <s v="Financial Close"/>
    <n v="2.8333333333333335"/>
    <n v="3.2245394070499998E-3"/>
    <n v="0.12898157628199999"/>
    <m/>
    <n v="2.8333333333333335"/>
    <m/>
  </r>
  <r>
    <x v="18"/>
    <x v="69"/>
    <s v="Multilateral"/>
    <n v="1500000"/>
    <m/>
    <m/>
    <m/>
    <x v="175"/>
    <s v="https://ijglobal.com/data/transaction/30939/shamsuna-solar-pv-plant-10mw"/>
    <x v="59"/>
    <x v="7"/>
    <x v="56"/>
    <m/>
    <m/>
    <m/>
    <m/>
    <x v="3"/>
    <s v="Photovoltaic Solar"/>
    <s v="Financial Close"/>
    <n v="3.3333333333333335"/>
    <n v="3.7935757729999999E-3"/>
    <n v="0.15174303091999999"/>
    <m/>
    <n v="3.3333333333333335"/>
    <m/>
  </r>
  <r>
    <x v="18"/>
    <x v="71"/>
    <s v="Multilateral"/>
    <n v="6200000"/>
    <m/>
    <m/>
    <m/>
    <x v="187"/>
    <s v="https://ijglobal.com/data/transaction/20234/lake-turkana-wind-farm-300mw"/>
    <x v="68"/>
    <x v="0"/>
    <x v="49"/>
    <m/>
    <m/>
    <m/>
    <m/>
    <x v="3"/>
    <s v="Onshore Wind"/>
    <s v="Financial Close"/>
    <n v="60"/>
    <n v="6.8284363914000015E-2"/>
    <n v="2.7313745565600005"/>
    <m/>
    <n v="60"/>
    <m/>
  </r>
  <r>
    <x v="18"/>
    <x v="72"/>
    <s v="Multilateral"/>
    <n v="12410000"/>
    <m/>
    <m/>
    <m/>
    <x v="187"/>
    <s v="https://ijglobal.com/data/transaction/20234/lake-turkana-wind-farm-300mw"/>
    <x v="68"/>
    <x v="0"/>
    <x v="49"/>
    <m/>
    <m/>
    <m/>
    <m/>
    <x v="3"/>
    <s v="Onshore Wind"/>
    <s v="Financial Close"/>
    <n v="60"/>
    <n v="6.8284363914000015E-2"/>
    <n v="2.7313745565600005"/>
    <m/>
    <n v="60"/>
    <m/>
  </r>
  <r>
    <x v="18"/>
    <x v="73"/>
    <s v="Multilateral"/>
    <n v="31030000"/>
    <m/>
    <m/>
    <m/>
    <x v="187"/>
    <s v="https://ijglobal.com/data/transaction/20234/lake-turkana-wind-farm-300mw"/>
    <x v="68"/>
    <x v="0"/>
    <x v="49"/>
    <m/>
    <m/>
    <m/>
    <m/>
    <x v="3"/>
    <s v="Onshore Wind"/>
    <s v="Financial Close"/>
    <n v="60"/>
    <n v="6.8284363914000015E-2"/>
    <n v="2.7313745565600005"/>
    <m/>
    <n v="60"/>
    <m/>
  </r>
  <r>
    <x v="18"/>
    <x v="68"/>
    <s v="Multilateral"/>
    <n v="45000000"/>
    <m/>
    <m/>
    <m/>
    <x v="386"/>
    <s v="https://ijglobal.com/data/transaction/31205/pacifico-solar-programme-817mw"/>
    <x v="28"/>
    <x v="4"/>
    <x v="7"/>
    <m/>
    <m/>
    <m/>
    <m/>
    <x v="3"/>
    <s v="Photovoltaic Solar"/>
    <s v="Financial Close"/>
    <n v="40.85"/>
    <n v="4.6490271098115002E-2"/>
    <n v="1.8596108439246"/>
    <m/>
    <n v="40.85"/>
    <m/>
  </r>
  <r>
    <x v="18"/>
    <x v="69"/>
    <s v="Multilateral"/>
    <n v="15000000"/>
    <m/>
    <m/>
    <m/>
    <x v="386"/>
    <s v="https://ijglobal.com/data/transaction/31205/pacifico-solar-programme-817mw"/>
    <x v="28"/>
    <x v="4"/>
    <x v="7"/>
    <m/>
    <m/>
    <m/>
    <m/>
    <x v="3"/>
    <s v="Photovoltaic Solar"/>
    <s v="Financial Close"/>
    <n v="40.85"/>
    <n v="4.6490271098115002E-2"/>
    <n v="1.8596108439246"/>
    <m/>
    <n v="40.85"/>
    <m/>
  </r>
  <r>
    <x v="18"/>
    <x v="68"/>
    <s v="Multilateral"/>
    <n v="30000000"/>
    <m/>
    <m/>
    <m/>
    <x v="10"/>
    <s v="https://ijglobal.com/data/transaction/28135/penonome-ii-wind-farm-215mw"/>
    <x v="8"/>
    <x v="4"/>
    <x v="6"/>
    <m/>
    <m/>
    <m/>
    <m/>
    <x v="3"/>
    <s v="Onshore Wind"/>
    <s v="Financial Close"/>
    <n v="53.75"/>
    <n v="6.1171409339624998E-2"/>
    <n v="2.4468563735849997"/>
    <m/>
    <n v="53.75"/>
    <m/>
  </r>
  <r>
    <x v="18"/>
    <x v="74"/>
    <s v="Multilateral"/>
    <n v="7500000"/>
    <m/>
    <m/>
    <m/>
    <x v="188"/>
    <s v="https://ijglobal.com/data/transaction/32820/mecanismos-de-energia-renovable-mecer-solar-pv-plant-25mw"/>
    <x v="8"/>
    <x v="4"/>
    <x v="7"/>
    <m/>
    <m/>
    <m/>
    <m/>
    <x v="3"/>
    <s v="Photovoltaic Solar"/>
    <s v="Financial Close"/>
    <n v="6.25"/>
    <n v="7.1129545743750001E-3"/>
    <n v="0.28451818297499998"/>
    <m/>
    <n v="6.25"/>
    <m/>
  </r>
  <r>
    <x v="18"/>
    <x v="69"/>
    <s v="Multilateral"/>
    <n v="10000000"/>
    <m/>
    <m/>
    <m/>
    <x v="188"/>
    <s v="https://ijglobal.com/data/transaction/32820/mecanismos-de-energia-renovable-mecer-solar-pv-plant-25mw"/>
    <x v="8"/>
    <x v="4"/>
    <x v="7"/>
    <m/>
    <m/>
    <m/>
    <m/>
    <x v="3"/>
    <s v="Photovoltaic Solar"/>
    <s v="Financial Close"/>
    <n v="6.25"/>
    <n v="7.1129545743750001E-3"/>
    <n v="0.28451818297499998"/>
    <m/>
    <n v="6.25"/>
    <m/>
  </r>
  <r>
    <x v="18"/>
    <x v="75"/>
    <s v="Multilateral"/>
    <n v="55000000"/>
    <m/>
    <m/>
    <m/>
    <x v="464"/>
    <s v="https://ijglobal.com/data/transaction/30480/tres-mesas-wind-farm-1485mw"/>
    <x v="201"/>
    <x v="4"/>
    <x v="76"/>
    <m/>
    <m/>
    <m/>
    <m/>
    <x v="3"/>
    <s v="Onshore Wind"/>
    <s v="Financial Close"/>
    <n v="148.5"/>
    <n v="0.16900380068715001"/>
    <n v="6.7601520274860007"/>
    <m/>
    <n v="148.5"/>
    <m/>
  </r>
  <r>
    <x v="18"/>
    <x v="69"/>
    <s v="Multilateral"/>
    <n v="4000000"/>
    <m/>
    <m/>
    <m/>
    <x v="177"/>
    <s v="https://ijglobal.com/data/transaction/30940/falcon-solar-pv-plant-21mw"/>
    <x v="61"/>
    <x v="7"/>
    <x v="56"/>
    <m/>
    <m/>
    <m/>
    <m/>
    <x v="3"/>
    <s v="Photovoltaic Solar"/>
    <s v="Financial Close"/>
    <n v="7"/>
    <n v="7.9665091233000005E-3"/>
    <n v="0.31866036493200001"/>
    <m/>
    <n v="7"/>
    <m/>
  </r>
  <r>
    <x v="18"/>
    <x v="29"/>
    <s v="Multilateral"/>
    <n v="128100000"/>
    <m/>
    <m/>
    <m/>
    <x v="192"/>
    <s v="https://ijglobal.com/data/transaction/28128/noor-ii-concentrated-solar-power-csp-plant-200mw"/>
    <x v="62"/>
    <x v="7"/>
    <x v="21"/>
    <m/>
    <m/>
    <m/>
    <m/>
    <x v="3"/>
    <s v="Thermal Solar"/>
    <s v="Financial Close"/>
    <n v="200"/>
    <n v="0.22761454638"/>
    <n v="9.1045818551999993"/>
    <m/>
    <n v="200"/>
    <m/>
  </r>
  <r>
    <x v="18"/>
    <x v="29"/>
    <s v="Multilateral"/>
    <n v="88100000"/>
    <m/>
    <m/>
    <m/>
    <x v="193"/>
    <s v="https://ijglobal.com/data/transaction/28129/noor-iii-concentrated-solar-power-csp-plant-150mw"/>
    <x v="62"/>
    <x v="7"/>
    <x v="21"/>
    <m/>
    <m/>
    <m/>
    <m/>
    <x v="3"/>
    <s v="Thermal Solar"/>
    <s v="Financial Close"/>
    <n v="150"/>
    <n v="0.170710909785"/>
    <n v="6.8284363914000004"/>
    <m/>
    <n v="150"/>
    <m/>
  </r>
  <r>
    <x v="18"/>
    <x v="69"/>
    <s v="Multilateral"/>
    <n v="7200000"/>
    <m/>
    <m/>
    <m/>
    <x v="178"/>
    <s v="https://ijglobal.com/data/transaction/30942/adenium-energy-capital-solar-pv-portfolio-30mw"/>
    <x v="62"/>
    <x v="7"/>
    <x v="56"/>
    <m/>
    <m/>
    <m/>
    <m/>
    <x v="3"/>
    <s v="Photovoltaic Solar"/>
    <s v="Financial Close"/>
    <n v="10"/>
    <n v="1.1380727318999998E-2"/>
    <n v="0.45522909275999995"/>
    <m/>
    <n v="10"/>
    <m/>
  </r>
  <r>
    <x v="18"/>
    <x v="69"/>
    <s v="Multilateral"/>
    <n v="8700000"/>
    <m/>
    <m/>
    <m/>
    <x v="179"/>
    <s v="https://ijglobal.com/data/transaction/31059/jordan-solar-one-pv-plant-20mw"/>
    <x v="62"/>
    <x v="7"/>
    <x v="56"/>
    <m/>
    <m/>
    <m/>
    <m/>
    <x v="3"/>
    <s v="Photovoltaic Solar"/>
    <s v="Financial Close"/>
    <n v="6.666666666666667"/>
    <n v="7.5871515459999999E-3"/>
    <n v="0.30348606183999999"/>
    <m/>
    <n v="6.666666666666667"/>
    <m/>
  </r>
  <r>
    <x v="18"/>
    <x v="75"/>
    <s v="Multilateral"/>
    <n v="15500000"/>
    <m/>
    <m/>
    <m/>
    <x v="465"/>
    <s v="https://ijglobal.com/data/transaction/33583/los-santos-i-solar-pv-plant-14mw"/>
    <x v="202"/>
    <x v="4"/>
    <x v="76"/>
    <m/>
    <m/>
    <m/>
    <m/>
    <x v="3"/>
    <s v="Photovoltaic Solar"/>
    <s v="Financial Close"/>
    <n v="14"/>
    <n v="1.5933018246600001E-2"/>
    <n v="0.63732072986400001"/>
    <m/>
    <n v="14"/>
    <m/>
  </r>
  <r>
    <x v="18"/>
    <x v="76"/>
    <s v="Multilateral"/>
    <n v="6700000"/>
    <m/>
    <m/>
    <m/>
    <x v="195"/>
    <s v="https://ijglobal.com/data/transaction/34823/los-loros-solar-pv-plant-54mw"/>
    <x v="72"/>
    <x v="4"/>
    <x v="10"/>
    <m/>
    <m/>
    <m/>
    <m/>
    <x v="3"/>
    <s v="Photovoltaic Solar"/>
    <s v="Financial Close"/>
    <n v="27"/>
    <n v="3.0727963761299999E-2"/>
    <n v="1.2291185504519999"/>
    <m/>
    <n v="27"/>
    <m/>
  </r>
  <r>
    <x v="18"/>
    <x v="77"/>
    <s v="Multilateral"/>
    <n v="57700000"/>
    <m/>
    <m/>
    <m/>
    <x v="20"/>
    <s v="https://ijglobal.com/data/transaction/35250/providencia-solar-pv-plant-100mw"/>
    <x v="17"/>
    <x v="4"/>
    <x v="15"/>
    <m/>
    <m/>
    <m/>
    <m/>
    <x v="3"/>
    <s v="Photovoltaic Solar"/>
    <s v="Financial Close"/>
    <n v="50"/>
    <n v="5.6903636595000001E-2"/>
    <n v="2.2761454637999998"/>
    <m/>
    <n v="50"/>
    <m/>
  </r>
  <r>
    <x v="18"/>
    <x v="76"/>
    <s v="Multilateral"/>
    <n v="19300000"/>
    <m/>
    <m/>
    <m/>
    <x v="21"/>
    <s v="https://ijglobal.com/data/transaction/34353/sky-solars-uruguay-pv-portfolio-699mw"/>
    <x v="18"/>
    <x v="4"/>
    <x v="16"/>
    <m/>
    <m/>
    <m/>
    <m/>
    <x v="3"/>
    <s v="Photovoltaic Solar"/>
    <s v="Financial Close"/>
    <n v="69.900000000000006"/>
    <n v="7.9551283959810024E-2"/>
    <n v="3.1820513583924011"/>
    <m/>
    <n v="69.900000000000006"/>
    <m/>
  </r>
  <r>
    <x v="18"/>
    <x v="78"/>
    <s v="Multilateral"/>
    <n v="110000000"/>
    <m/>
    <m/>
    <m/>
    <x v="22"/>
    <s v="https://ijglobal.com/data/transaction/33723/mohammed-bin-rashid-al-maktoum-solar-pv-phase-iii-800mw-ppp"/>
    <x v="19"/>
    <x v="7"/>
    <x v="17"/>
    <s v="Seih Al-Dilal"/>
    <m/>
    <s v="https://ijglobal.com/articles/106791/debt-terms-revealed-as-masdar-edf-close-on-dubai-pv"/>
    <m/>
    <x v="3"/>
    <s v="Photovoltaic Solar"/>
    <s v="Financing"/>
    <n v="800"/>
    <n v="0.91045818552000002"/>
    <n v="36.418327420799997"/>
    <m/>
    <n v="800"/>
    <m/>
  </r>
  <r>
    <x v="18"/>
    <x v="70"/>
    <s v="Multilateral"/>
    <n v="7330000"/>
    <m/>
    <m/>
    <m/>
    <x v="466"/>
    <s v="https://ijglobal.com/data/transaction/32672/tororo-solar-pv-power-plant-10mw"/>
    <x v="3"/>
    <x v="0"/>
    <x v="86"/>
    <m/>
    <m/>
    <m/>
    <m/>
    <x v="3"/>
    <s v="Photovoltaic Solar"/>
    <s v="Financing"/>
    <n v="5"/>
    <n v="5.6903636594999992E-3"/>
    <n v="0.22761454637999998"/>
    <m/>
    <n v="5"/>
    <m/>
  </r>
  <r>
    <x v="18"/>
    <x v="29"/>
    <s v="Multilateral"/>
    <n v="16200000"/>
    <m/>
    <m/>
    <m/>
    <x v="282"/>
    <s v="https://ijglobal.com/data/transaction/28728/morocco-onee-wind-power-programme-850mw"/>
    <x v="3"/>
    <x v="7"/>
    <x v="21"/>
    <m/>
    <m/>
    <m/>
    <m/>
    <x v="3"/>
    <s v="Onshore Wind"/>
    <s v="Financing"/>
    <n v="850"/>
    <n v="0.96736182211499999"/>
    <n v="38.694472884600003"/>
    <m/>
    <n v="850"/>
    <m/>
  </r>
  <r>
    <x v="18"/>
    <x v="69"/>
    <s v="Multilateral"/>
    <n v="17800000"/>
    <m/>
    <m/>
    <m/>
    <x v="13"/>
    <s v="https://ijglobal.com/data/transaction/32297/lower-solu-hydropower-ipp-82mw"/>
    <x v="3"/>
    <x v="5"/>
    <x v="9"/>
    <m/>
    <m/>
    <m/>
    <m/>
    <x v="3"/>
    <s v="Small Hydro"/>
    <s v="Financing"/>
    <n v="27.333333333333332"/>
    <n v="3.1107321338600002E-2"/>
    <n v="1.2442928535440001"/>
    <m/>
    <n v="27.333333333333332"/>
    <m/>
  </r>
  <r>
    <x v="18"/>
    <x v="76"/>
    <s v="Multilateral"/>
    <n v="50000000"/>
    <s v="Cubico Sustainable Investments, Alten Energías Renovables"/>
    <m/>
    <m/>
    <x v="461"/>
    <s v="https://ijglobal.com/data/transaction/37748/solem-solar-pv-complex-290mw"/>
    <x v="3"/>
    <x v="4"/>
    <x v="76"/>
    <s v="Aguascalientes"/>
    <s v="Financial close is expected as early as July-end 2017"/>
    <s v="https://ijglobal.com/articles/106946/financing-takes-shape-for-mexican-solar-pv"/>
    <m/>
    <x v="3"/>
    <s v="Photovoltaic Solar"/>
    <s v="Financing"/>
    <n v="145"/>
    <n v="0.16502054612550002"/>
    <n v="6.6008218450200005"/>
    <m/>
    <n v="145"/>
    <m/>
  </r>
  <r>
    <x v="18"/>
    <x v="77"/>
    <s v="Multilateral"/>
    <n v="55000000"/>
    <s v="Cubico Sustainable Investments, Alten Energías Renovables"/>
    <m/>
    <m/>
    <x v="461"/>
    <s v="https://ijglobal.com/data/transaction/37748/solem-solar-pv-complex-290mw"/>
    <x v="3"/>
    <x v="4"/>
    <x v="76"/>
    <s v="Aguascalientes"/>
    <s v="Financial close is expected as early as July-end 2017"/>
    <s v="https://ijglobal.com/articles/106946/financing-takes-shape-for-mexican-solar-pv"/>
    <m/>
    <x v="3"/>
    <s v="Photovoltaic Solar"/>
    <s v="Financing"/>
    <n v="145"/>
    <n v="0.16502054612550002"/>
    <n v="6.6008218450200005"/>
    <m/>
    <n v="145"/>
    <m/>
  </r>
  <r>
    <x v="19"/>
    <x v="79"/>
    <s v="Other Public Financer"/>
    <n v="16670000.000000002"/>
    <m/>
    <m/>
    <m/>
    <x v="182"/>
    <s v="https://ijglobal.com/data/transaction/26159/polesine-san-gabriel-wind-farm-financing-50mw"/>
    <x v="65"/>
    <x v="4"/>
    <x v="16"/>
    <m/>
    <m/>
    <m/>
    <m/>
    <x v="3"/>
    <s v="Onshore Wind"/>
    <s v="Financial Close"/>
    <n v="16.666666666666668"/>
    <n v="1.8967878864999999E-2"/>
    <n v="0.75871515459999994"/>
    <m/>
    <n v="16.666666666666668"/>
    <m/>
  </r>
  <r>
    <x v="19"/>
    <x v="79"/>
    <s v="Other Public Financer"/>
    <n v="24000000"/>
    <s v="Renew Wind Energy (Devgarh) Private Limited "/>
    <m/>
    <m/>
    <x v="467"/>
    <s v="https://ijglobal.com/data/transaction/28344/vaspet-wind-farm-financing-495mw"/>
    <x v="203"/>
    <x v="5"/>
    <x v="50"/>
    <s v="Andaman and Nicobar, Andhra Pradesh, Arunachal Pradesh, Assam, Bihar, Chandigarh, Chhattisgarh, Dadra and Nagar Haveli, Daman and Diu, Delhi, Goa, Gujarat, Haryana, Himachal Pradesh, Jammu and Kashmir, Jharkhand, Karnataka, Kerala, Lakshadweep, Madhya Pradesh, Maharashtra, Manipur, Meghalaya, Mizoram, Nagaland, Odisha, Puducherry, Punjab, Rajasthan, Sikkim, Tamil Nadu, Tripura, Uttar Pradesh, Uttarakhand, West Bengal"/>
    <m/>
    <m/>
    <m/>
    <x v="3"/>
    <s v="Onshore Wind"/>
    <s v="Financial Close"/>
    <n v="49.5"/>
    <n v="5.6334600229050007E-2"/>
    <n v="2.2533840091620001"/>
    <m/>
    <n v="49.5"/>
    <m/>
  </r>
  <r>
    <x v="19"/>
    <x v="79"/>
    <s v="Other Public Financer"/>
    <n v="28720000"/>
    <m/>
    <m/>
    <m/>
    <x v="371"/>
    <s v="https://ijglobal.com/data/transaction/28137/tafila-wind-farm-financing-117mw"/>
    <x v="168"/>
    <x v="7"/>
    <x v="56"/>
    <m/>
    <m/>
    <m/>
    <m/>
    <x v="3"/>
    <s v="Onshore Wind"/>
    <s v="Financial Close"/>
    <n v="58.5"/>
    <n v="6.6577254816149997E-2"/>
    <n v="2.663090192646"/>
    <m/>
    <n v="58.5"/>
    <m/>
  </r>
  <r>
    <x v="19"/>
    <x v="79"/>
    <s v="Other Public Financer"/>
    <n v="24000000"/>
    <m/>
    <m/>
    <m/>
    <x v="468"/>
    <s v="https://ijglobal.com/data/transaction/26095/orosi-wind-project-financing-50mw"/>
    <x v="204"/>
    <x v="4"/>
    <x v="58"/>
    <m/>
    <m/>
    <m/>
    <m/>
    <x v="3"/>
    <s v="Onshore Wind"/>
    <s v="Financial Close"/>
    <n v="50"/>
    <n v="5.6903636595000001E-2"/>
    <n v="2.2761454637999998"/>
    <m/>
    <n v="50"/>
    <m/>
  </r>
  <r>
    <x v="19"/>
    <x v="79"/>
    <s v="Other Public Financer"/>
    <n v="11500000"/>
    <m/>
    <m/>
    <m/>
    <x v="463"/>
    <s v="https://ijglobal.com/data/transaction/28551/agahozo-shalom-youth-pv-solar-plant-85mw"/>
    <x v="200"/>
    <x v="0"/>
    <x v="85"/>
    <m/>
    <m/>
    <m/>
    <m/>
    <x v="3"/>
    <s v="Photovoltaic Solar"/>
    <s v="Financial Close"/>
    <n v="2.8333333333333335"/>
    <n v="3.2245394070499998E-3"/>
    <n v="0.12898157628199999"/>
    <m/>
    <n v="2.8333333333333335"/>
    <m/>
  </r>
  <r>
    <x v="19"/>
    <x v="79"/>
    <s v="Other Public Financer"/>
    <n v="1500000"/>
    <m/>
    <m/>
    <m/>
    <x v="175"/>
    <s v="https://ijglobal.com/data/transaction/30939/shamsuna-solar-pv-plant-10mw"/>
    <x v="59"/>
    <x v="7"/>
    <x v="56"/>
    <m/>
    <m/>
    <m/>
    <m/>
    <x v="3"/>
    <s v="Photovoltaic Solar"/>
    <s v="Financial Close"/>
    <n v="3.3333333333333335"/>
    <n v="3.7935757729999999E-3"/>
    <n v="0.15174303091999999"/>
    <m/>
    <n v="3.3333333333333335"/>
    <m/>
  </r>
  <r>
    <x v="19"/>
    <x v="79"/>
    <s v="Other Public Financer"/>
    <n v="43440000"/>
    <m/>
    <m/>
    <m/>
    <x v="187"/>
    <s v="https://ijglobal.com/data/transaction/20234/lake-turkana-wind-farm-300mw"/>
    <x v="68"/>
    <x v="0"/>
    <x v="49"/>
    <m/>
    <m/>
    <m/>
    <m/>
    <x v="3"/>
    <s v="Onshore Wind"/>
    <s v="Financial Close"/>
    <n v="60"/>
    <n v="6.8284363914000015E-2"/>
    <n v="2.7313745565600005"/>
    <m/>
    <n v="60"/>
    <m/>
  </r>
  <r>
    <x v="19"/>
    <x v="79"/>
    <s v="Other Public Financer"/>
    <n v="12500000"/>
    <m/>
    <m/>
    <m/>
    <x v="188"/>
    <s v="https://ijglobal.com/data/transaction/32820/mecanismos-de-energia-renovable-mecer-solar-pv-plant-25mw"/>
    <x v="8"/>
    <x v="4"/>
    <x v="7"/>
    <m/>
    <m/>
    <m/>
    <m/>
    <x v="3"/>
    <s v="Photovoltaic Solar"/>
    <s v="Financial Close"/>
    <n v="6.25"/>
    <n v="7.1129545743750001E-3"/>
    <n v="0.28451818297499998"/>
    <m/>
    <n v="6.25"/>
    <m/>
  </r>
  <r>
    <x v="19"/>
    <x v="79"/>
    <s v="Other Public Financer"/>
    <n v="25000000"/>
    <m/>
    <m/>
    <m/>
    <x v="10"/>
    <s v="https://ijglobal.com/data/transaction/28135/penonome-ii-wind-farm-215mw"/>
    <x v="8"/>
    <x v="4"/>
    <x v="6"/>
    <m/>
    <m/>
    <m/>
    <m/>
    <x v="3"/>
    <s v="Onshore Wind"/>
    <s v="Financial Close"/>
    <n v="53.75"/>
    <n v="6.1171409339624998E-2"/>
    <n v="2.4468563735849997"/>
    <m/>
    <n v="53.75"/>
    <m/>
  </r>
  <r>
    <x v="19"/>
    <x v="79"/>
    <s v="Other Public Financer"/>
    <n v="8330000"/>
    <m/>
    <m/>
    <m/>
    <x v="189"/>
    <s v="https://ijglobal.com/data/transaction/32026/marcona-wind-farm-321mw"/>
    <x v="69"/>
    <x v="4"/>
    <x v="57"/>
    <m/>
    <m/>
    <m/>
    <m/>
    <x v="3"/>
    <s v="Onshore Wind"/>
    <s v="Financial Close"/>
    <n v="10.700000000000001"/>
    <n v="1.2177378231330003E-2"/>
    <n v="0.48709512925320009"/>
    <m/>
    <n v="10.700000000000001"/>
    <m/>
  </r>
  <r>
    <x v="19"/>
    <x v="79"/>
    <s v="Other Public Financer"/>
    <n v="15000000"/>
    <m/>
    <m/>
    <m/>
    <x v="190"/>
    <s v="https://ijglobal.com/data/transaction/26112/tres-hermanas-wind-farm-9715mw"/>
    <x v="69"/>
    <x v="4"/>
    <x v="57"/>
    <m/>
    <m/>
    <m/>
    <m/>
    <x v="3"/>
    <s v="Onshore Wind"/>
    <s v="Financial Close"/>
    <n v="32.383333333333333"/>
    <n v="3.6854588634695006E-2"/>
    <n v="1.4741835453878003"/>
    <m/>
    <n v="32.383333333333333"/>
    <m/>
  </r>
  <r>
    <x v="19"/>
    <x v="79"/>
    <s v="Other Public Financer"/>
    <n v="11250000"/>
    <s v="Metro Power Company Limited"/>
    <m/>
    <m/>
    <x v="392"/>
    <s v="https://ijglobal.com/data/transaction/35427/metro-wind-farm-50mw"/>
    <x v="182"/>
    <x v="5"/>
    <x v="19"/>
    <m/>
    <m/>
    <m/>
    <m/>
    <x v="3"/>
    <s v="Onshore Wind"/>
    <s v="Financial Close"/>
    <m/>
    <n v="0"/>
    <n v="0"/>
    <m/>
    <m/>
    <m/>
  </r>
  <r>
    <x v="19"/>
    <x v="79"/>
    <s v="Other Public Financer"/>
    <n v="12130000"/>
    <s v="Gul Ahmed Wind Power Limited"/>
    <m/>
    <m/>
    <x v="191"/>
    <s v="https://ijglobal.com/data/transaction/32340/gul-ahmed-wind-power-plant-50mw"/>
    <x v="70"/>
    <x v="5"/>
    <x v="19"/>
    <m/>
    <m/>
    <m/>
    <m/>
    <x v="3"/>
    <s v="Onshore Wind"/>
    <s v="Financial Close"/>
    <n v="7.1428571428571432"/>
    <n v="8.1290909421428571E-3"/>
    <n v="0.32516363768571427"/>
    <m/>
    <n v="7.1428571428571432"/>
    <m/>
  </r>
  <r>
    <x v="19"/>
    <x v="79"/>
    <s v="Other Public Financer"/>
    <n v="3870000"/>
    <s v="Gul Ahmed Wind Power Limited"/>
    <m/>
    <m/>
    <x v="191"/>
    <s v="https://ijglobal.com/data/transaction/32340/gul-ahmed-wind-power-plant-50mw"/>
    <x v="70"/>
    <x v="5"/>
    <x v="19"/>
    <m/>
    <m/>
    <m/>
    <m/>
    <x v="3"/>
    <s v="Onshore Wind"/>
    <s v="Financial Close"/>
    <n v="7.1428571428571432"/>
    <n v="8.1290909421428571E-3"/>
    <n v="0.32516363768571427"/>
    <m/>
    <n v="7.1428571428571432"/>
    <m/>
  </r>
  <r>
    <x v="19"/>
    <x v="79"/>
    <s v="Other Public Financer"/>
    <n v="4000000"/>
    <m/>
    <m/>
    <m/>
    <x v="177"/>
    <s v="https://ijglobal.com/data/transaction/30940/falcon-solar-pv-plant-21mw"/>
    <x v="61"/>
    <x v="7"/>
    <x v="56"/>
    <m/>
    <m/>
    <m/>
    <m/>
    <x v="3"/>
    <s v="Photovoltaic Solar"/>
    <s v="Financial Close"/>
    <n v="7"/>
    <n v="7.9665091233000005E-3"/>
    <n v="0.31866036493200001"/>
    <m/>
    <n v="7"/>
    <m/>
  </r>
  <r>
    <x v="19"/>
    <x v="79"/>
    <s v="Other Public Financer"/>
    <n v="7200000"/>
    <m/>
    <m/>
    <m/>
    <x v="178"/>
    <s v="https://ijglobal.com/data/transaction/30942/adenium-energy-capital-solar-pv-portfolio-30mw"/>
    <x v="62"/>
    <x v="7"/>
    <x v="56"/>
    <m/>
    <m/>
    <m/>
    <m/>
    <x v="3"/>
    <s v="Photovoltaic Solar"/>
    <s v="Financial Close"/>
    <n v="10"/>
    <n v="1.1380727318999998E-2"/>
    <n v="0.45522909275999995"/>
    <m/>
    <n v="10"/>
    <m/>
  </r>
  <r>
    <x v="19"/>
    <x v="79"/>
    <s v="Other Public Financer"/>
    <n v="8700000"/>
    <m/>
    <m/>
    <m/>
    <x v="179"/>
    <s v="https://ijglobal.com/data/transaction/31059/jordan-solar-one-pv-plant-20mw"/>
    <x v="62"/>
    <x v="7"/>
    <x v="56"/>
    <m/>
    <m/>
    <m/>
    <m/>
    <x v="3"/>
    <s v="Photovoltaic Solar"/>
    <s v="Financial Close"/>
    <n v="6.666666666666667"/>
    <n v="7.5871515459999999E-3"/>
    <n v="0.30348606183999999"/>
    <m/>
    <n v="6.666666666666667"/>
    <m/>
  </r>
  <r>
    <x v="19"/>
    <x v="79"/>
    <s v="Other Public Financer"/>
    <n v="50000000"/>
    <s v="Renew Rajasthan"/>
    <m/>
    <m/>
    <x v="469"/>
    <s v="https://ijglobal.com/data/transaction/34794/renew-wind-ii-1008mw"/>
    <x v="205"/>
    <x v="5"/>
    <x v="50"/>
    <s v="Andaman and Nicobar, Andhra Pradesh, Arunachal Pradesh, Assam, Bihar, Chandigarh, Chhattisgarh, Dadra and Nagar Haveli, Daman and Diu, Delhi, Goa, Gujarat, Haryana, Himachal Pradesh, Jammu and Kashmir, Jharkhand, Karnataka, Kerala, Lakshadweep, Madhya Pradesh, Maharashtra,  Manipur, Meghalaya, Mizoram, Nagaland, Odisha, Puducherry,  Punjab, Rajasthan, Sikkim, Tamil Nadu, Tripura, Uttar Pradesh, Uttarakhand, West Bengal"/>
    <m/>
    <m/>
    <m/>
    <x v="3"/>
    <s v="Onshore Wind"/>
    <s v="Financial Close"/>
    <n v="100.8"/>
    <n v="0.11471773137551999"/>
    <n v="4.5887092550207997"/>
    <m/>
    <n v="100.8"/>
    <m/>
  </r>
  <r>
    <x v="19"/>
    <x v="79"/>
    <s v="Other Public Financer"/>
    <n v="16000000"/>
    <m/>
    <m/>
    <m/>
    <x v="470"/>
    <s v="https://ijglobal.com/data/transaction/35452/nyamwamba-92mw-and-mpanga-18mw-small-hydro-power-plants"/>
    <x v="206"/>
    <x v="0"/>
    <x v="86"/>
    <m/>
    <m/>
    <m/>
    <m/>
    <x v="3"/>
    <s v="Small Hydro"/>
    <s v="Financial Close"/>
    <n v="9.0666666666666664"/>
    <n v="1.0318526102559998E-2"/>
    <n v="0.41274104410239992"/>
    <m/>
    <n v="9.0666666666666664"/>
    <m/>
  </r>
  <r>
    <x v="19"/>
    <x v="79"/>
    <s v="Other Public Financer"/>
    <n v="5000000"/>
    <m/>
    <m/>
    <m/>
    <x v="470"/>
    <s v="https://ijglobal.com/data/transaction/35452/nyamwamba-92mw-and-mpanga-18mw-small-hydro-power-plants"/>
    <x v="206"/>
    <x v="0"/>
    <x v="86"/>
    <m/>
    <m/>
    <m/>
    <m/>
    <x v="3"/>
    <s v="Small Hydro"/>
    <s v="Financial Close"/>
    <n v="9.0666666666666664"/>
    <n v="1.0318526102559998E-2"/>
    <n v="0.41274104410239992"/>
    <m/>
    <n v="9.0666666666666664"/>
    <m/>
  </r>
  <r>
    <x v="19"/>
    <x v="79"/>
    <s v="Other Public Financer"/>
    <n v="10600000"/>
    <m/>
    <m/>
    <m/>
    <x v="470"/>
    <s v="https://ijglobal.com/data/transaction/35452/nyamwamba-92mw-and-mpanga-18mw-small-hydro-power-plants"/>
    <x v="206"/>
    <x v="0"/>
    <x v="86"/>
    <m/>
    <m/>
    <m/>
    <m/>
    <x v="3"/>
    <s v="Small Hydro"/>
    <s v="Financial Close"/>
    <n v="9.0666666666666664"/>
    <n v="1.0318526102559998E-2"/>
    <n v="0.41274104410239992"/>
    <m/>
    <n v="9.0666666666666664"/>
    <m/>
  </r>
  <r>
    <x v="19"/>
    <x v="79"/>
    <s v="Other Public Financer"/>
    <n v="10800000"/>
    <m/>
    <m/>
    <m/>
    <x v="471"/>
    <s v="https://ijglobal.com/data/transaction/35443/siti-small-hydro-power-plant-5mw"/>
    <x v="207"/>
    <x v="0"/>
    <x v="86"/>
    <m/>
    <m/>
    <m/>
    <m/>
    <x v="3"/>
    <s v="Small Hydro"/>
    <s v="Financial Close"/>
    <n v="5"/>
    <n v="5.6903636594999992E-3"/>
    <n v="0.22761454637999998"/>
    <m/>
    <n v="5"/>
    <m/>
  </r>
  <r>
    <x v="19"/>
    <x v="79"/>
    <s v="Other Public Financer"/>
    <n v="87000000"/>
    <m/>
    <m/>
    <m/>
    <x v="194"/>
    <s v="https://ijglobal.com/data/transaction/35310/alisios-wind-farms-80mw"/>
    <x v="71"/>
    <x v="4"/>
    <x v="58"/>
    <m/>
    <m/>
    <m/>
    <m/>
    <x v="3"/>
    <s v="Onshore Wind"/>
    <s v="Financial Close"/>
    <n v="80"/>
    <n v="9.1045818551999988E-2"/>
    <n v="3.6418327420799996"/>
    <m/>
    <n v="80"/>
    <m/>
  </r>
  <r>
    <x v="19"/>
    <x v="79"/>
    <s v="Other Public Financer"/>
    <n v="10700000"/>
    <m/>
    <m/>
    <m/>
    <x v="472"/>
    <s v="https://ijglobal.com/data/transaction/32670/soroti-solar-power-plant-10mw"/>
    <x v="208"/>
    <x v="0"/>
    <x v="86"/>
    <m/>
    <m/>
    <m/>
    <m/>
    <x v="3"/>
    <s v="Photovoltaic Solar"/>
    <s v="Financial Close"/>
    <n v="10"/>
    <n v="1.1380727318999998E-2"/>
    <n v="0.45522909275999995"/>
    <m/>
    <n v="10"/>
    <m/>
  </r>
  <r>
    <x v="19"/>
    <x v="79"/>
    <s v="Other Public Financer"/>
    <n v="12000000"/>
    <m/>
    <m/>
    <m/>
    <x v="180"/>
    <s v="https://ijglobal.com/data/transaction/33332/jordan-one-solar-pv-plant-664mw-ppp"/>
    <x v="63"/>
    <x v="7"/>
    <x v="56"/>
    <m/>
    <m/>
    <m/>
    <m/>
    <x v="3"/>
    <s v="Photovoltaic Solar"/>
    <s v="Financial Close"/>
    <n v="33.200000000000003"/>
    <n v="3.7784014699080007E-2"/>
    <n v="1.5113605879632002"/>
    <m/>
    <n v="33.200000000000003"/>
    <m/>
  </r>
  <r>
    <x v="19"/>
    <x v="79"/>
    <s v="Other Public Financer"/>
    <n v="35000000"/>
    <s v="Fotowatio Renewable Ventures, Arabia Trading &amp; Consulting Company"/>
    <m/>
    <m/>
    <x v="417"/>
    <s v="https://ijglobal.com/articles/106841/ebrd-to-back-frvs-newly-acquired-jordan-solar"/>
    <x v="3"/>
    <x v="7"/>
    <x v="56"/>
    <s v="Safawi"/>
    <s v="The special purpose vehicle is 70% owned by Abdul Latif Jameel Group (ALJ), through its holding of Fotowatio Renewable Ventures (FRV), and 30% owned by Arabia Trading &amp; Consulting Company."/>
    <m/>
    <m/>
    <x v="3"/>
    <s v="Photovoltaic Solar"/>
    <s v="Financing"/>
    <n v="25.5"/>
    <n v="2.9020854663450002E-2"/>
    <n v="1.1608341865380001"/>
    <m/>
    <n v="25.5"/>
    <m/>
  </r>
  <r>
    <x v="19"/>
    <x v="79"/>
    <s v="Other Public Financer"/>
    <n v="0"/>
    <m/>
    <m/>
    <m/>
    <x v="473"/>
    <s v="https://ijglobal.com/data/transaction/33392/aguas-el-carmen-hydro-power-project-85mw"/>
    <x v="3"/>
    <x v="4"/>
    <x v="87"/>
    <m/>
    <m/>
    <m/>
    <m/>
    <x v="3"/>
    <s v="Small Hydro"/>
    <s v="Pre-financing"/>
    <n v="85"/>
    <n v="9.6736182211500016E-2"/>
    <n v="3.8694472884600009"/>
    <m/>
    <n v="85"/>
    <m/>
  </r>
  <r>
    <x v="19"/>
    <x v="79"/>
    <s v="Other Public Financer"/>
    <n v="17900000"/>
    <m/>
    <m/>
    <m/>
    <x v="13"/>
    <s v="https://ijglobal.com/data/transaction/32297/lower-solu-hydropower-ipp-82mw"/>
    <x v="3"/>
    <x v="5"/>
    <x v="9"/>
    <m/>
    <m/>
    <m/>
    <m/>
    <x v="3"/>
    <s v="Small Hydro"/>
    <s v="Financing"/>
    <n v="27.333333333333332"/>
    <n v="3.1107321338600002E-2"/>
    <n v="1.2442928535440001"/>
    <m/>
    <n v="27.333333333333332"/>
    <m/>
  </r>
  <r>
    <x v="19"/>
    <x v="79"/>
    <s v="Other Public Financer"/>
    <n v="5100000"/>
    <m/>
    <m/>
    <m/>
    <x v="474"/>
    <s v="https://ijglobal.com/data/transaction/35988/lubilia-small-hydro-power-plant-54mw"/>
    <x v="3"/>
    <x v="0"/>
    <x v="86"/>
    <m/>
    <m/>
    <m/>
    <m/>
    <x v="3"/>
    <s v="Small Hydro"/>
    <s v="Financing"/>
    <n v="5.4"/>
    <n v="6.14559275226E-3"/>
    <n v="0.24582371009039999"/>
    <m/>
    <n v="5.4"/>
    <m/>
  </r>
  <r>
    <x v="19"/>
    <x v="79"/>
    <s v="Other Public Financer"/>
    <n v="27000000"/>
    <m/>
    <m/>
    <m/>
    <x v="431"/>
    <s v="https://ijglobal.com/data/transaction/36062/mafraq-solar-pv-plant-603mw"/>
    <x v="3"/>
    <x v="7"/>
    <x v="56"/>
    <m/>
    <m/>
    <m/>
    <m/>
    <x v="3"/>
    <s v="Photovoltaic Solar"/>
    <s v="Financing"/>
    <n v="60.3"/>
    <n v="6.8625785733570019E-2"/>
    <n v="2.7450314293428009"/>
    <m/>
    <n v="60.3"/>
    <m/>
  </r>
  <r>
    <x v="19"/>
    <x v="79"/>
    <s v="Other Public Financer"/>
    <n v="40000000"/>
    <m/>
    <m/>
    <m/>
    <x v="198"/>
    <s v="https://ijglobal.com/data/transaction/36396/pan-african-solar-pv-plant-75mw"/>
    <x v="3"/>
    <x v="0"/>
    <x v="0"/>
    <m/>
    <m/>
    <m/>
    <m/>
    <x v="3"/>
    <s v="Photovoltaic Solar"/>
    <s v="Financing"/>
    <n v="37.5"/>
    <n v="4.2677727446250001E-2"/>
    <n v="1.7071090978500001"/>
    <m/>
    <n v="37.5"/>
    <m/>
  </r>
  <r>
    <x v="19"/>
    <x v="79"/>
    <s v="Other Public Financer"/>
    <n v="7330000"/>
    <m/>
    <m/>
    <m/>
    <x v="466"/>
    <s v="https://ijglobal.com/data/transaction/32672/tororo-solar-pv-power-plant-10mw"/>
    <x v="3"/>
    <x v="0"/>
    <x v="86"/>
    <m/>
    <m/>
    <m/>
    <m/>
    <x v="3"/>
    <s v="Photovoltaic Solar"/>
    <s v="Financing"/>
    <n v="5"/>
    <n v="5.6903636594999992E-3"/>
    <n v="0.22761454637999998"/>
    <m/>
    <n v="5"/>
    <m/>
  </r>
  <r>
    <x v="20"/>
    <x v="80"/>
    <s v="Other Public Financer"/>
    <n v="700000"/>
    <m/>
    <m/>
    <m/>
    <x v="463"/>
    <s v="https://ijglobal.com/data/transaction/28551/agahozo-shalom-youth-pv-solar-plant-85mw"/>
    <x v="200"/>
    <x v="0"/>
    <x v="85"/>
    <m/>
    <m/>
    <m/>
    <m/>
    <x v="3"/>
    <s v="Photovoltaic Solar"/>
    <s v="Financial Close"/>
    <n v="2.8333333333333335"/>
    <n v="3.2245394070499998E-3"/>
    <n v="0.12898157628199999"/>
    <m/>
    <n v="2.8333333333333335"/>
    <m/>
  </r>
  <r>
    <x v="21"/>
    <x v="81"/>
    <s v="Export Credit &amp; Insurance"/>
    <m/>
    <s v="Hattat Enerji ve Maden Ticaret A.S. (HEMA), a subsidiary of Hattat Holding"/>
    <m/>
    <m/>
    <x v="475"/>
    <s v="http://www.kuke.com.pl/en/about-kuke/international-and-domestic-regulations/environmental-protection/projects-notified-ex-ante/"/>
    <x v="209"/>
    <x v="3"/>
    <x v="46"/>
    <s v="Bartin Province"/>
    <s v="Project description: Supply of mining equipment, including four longwalls, belt conveyors, chain conveyors, TH profiles and attachment sets to Amasra B Coal Mine Project in Turkey"/>
    <m/>
    <m/>
    <x v="2"/>
    <s v="Coal Mining - Equipment"/>
    <s v="Financial Close"/>
    <n v="0"/>
    <n v="0"/>
    <n v="0"/>
    <m/>
    <m/>
    <m/>
  </r>
  <r>
    <x v="22"/>
    <x v="82"/>
    <s v="Other Public Financer"/>
    <n v="2500000000"/>
    <s v="Mechel"/>
    <m/>
    <m/>
    <x v="476"/>
    <s v="http://www.tradefinancemagazine.com/Article/3256567/Search/Results/Update-VEB-board-approves-Mechel-project.html?Keywords=coal"/>
    <x v="210"/>
    <x v="8"/>
    <x v="18"/>
    <m/>
    <m/>
    <s v="https://tradefinanceanalytics.com/Articles/3256567/Update-VEB-board-approves-Mechel-project.html?Keywords=coal&amp;Keywords=coal"/>
    <m/>
    <x v="2"/>
    <s v="Coal Mining"/>
    <s v="Financial Close"/>
    <m/>
    <n v="0"/>
    <n v="0"/>
    <n v="11.7"/>
    <m/>
    <m/>
  </r>
  <r>
    <x v="22"/>
    <x v="82"/>
    <s v="Other Public Financer"/>
    <n v="20000000"/>
    <s v=" _x000a_Mongolian Development Bank"/>
    <m/>
    <m/>
    <x v="477"/>
    <s v="http://www.sourcewatch.org/index.php/Ulaanbaatar_Thermal_Power_Plant_No._4"/>
    <x v="211"/>
    <x v="8"/>
    <x v="38"/>
    <m/>
    <m/>
    <s v=" _x000a_http://www.veb.ru/en/press/news/?id_19=100787&amp;filter_year_20=2015&amp;from_20=8 http://veb.ru/common/upload/files/veb/reports/annual/VEB_Annual_2015_eng.pdf (pp. 19 &amp; 35)"/>
    <m/>
    <x v="0"/>
    <s v="Coal power plant - new "/>
    <s v="Financial Close"/>
    <m/>
    <n v="0"/>
    <n v="0"/>
    <m/>
    <m/>
    <m/>
  </r>
  <r>
    <x v="22"/>
    <x v="3"/>
    <s v="Multilateral"/>
    <n v="8092190.2255821535"/>
    <s v="EPS"/>
    <m/>
    <m/>
    <x v="7"/>
    <s v="http://www.ebrd.com/work-with-us/projects/psd/eps-restructuring.html"/>
    <x v="5"/>
    <x v="3"/>
    <x v="5"/>
    <m/>
    <s v="Financing for restructing of Serbian state-owned utility EPS, which is lignite-heavy and maintains plans for significant lignite expansion. _x000a__x000a_While not exclusively for coal, this investment is included because of EPS lignite expansion plans and lack of prior EBRD investments in EPS resulting in observable changes in supply mix or capacity addition plans."/>
    <s v="http://www.ebrd.com/news/2015/ebrd-supports-reform-of-serbias-power-sector-with-200-million-loan-to-eps.html_x000a_http://bankwatch.org/publications/issues-serbian-electricity-company-eps-need-be-addressed-within - New-ebrd-loan_x000a_http://bankwatch.org/bwmail/62/ebrd-digs-deeper-serbian-coal-king"/>
    <m/>
    <x v="1"/>
    <s v="Other"/>
    <s v="Financial Close"/>
    <m/>
    <n v="0"/>
    <n v="0"/>
    <m/>
    <m/>
    <m/>
  </r>
  <r>
    <x v="23"/>
    <x v="0"/>
    <s v="Multilateral"/>
    <n v="404631.34343285923"/>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23"/>
    <x v="0"/>
    <s v="Multilateral"/>
    <n v="2276051.3068098333"/>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24"/>
    <x v="0"/>
    <s v="Multilateral"/>
    <n v="9898218.6095844656"/>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24"/>
    <x v="83"/>
    <s v="Other Public Financer"/>
    <n v="75000000"/>
    <s v=" _x000a_Nava Bharat (65%); ZCCM Investment Holdings (35%)"/>
    <s v="SEPCO2"/>
    <s v="DONGFANG"/>
    <x v="38"/>
    <s v="https://ijglobal.com/data/transaction/32254/maamba-coal-fired-power-plant-phase-i-300mw"/>
    <x v="34"/>
    <x v="0"/>
    <x v="25"/>
    <m/>
    <s v="Sponsored by Maamba Collieries, the largest coal mining company in Zambia, the deal funds construction of_x000a_two 150MW coal-fired power plants on the site of an existing coal mine, as well as a new transmission line to connect to the national grid _x000a_This is phase one of two. "/>
    <m/>
    <m/>
    <x v="0"/>
    <s v="Coal Power Plant - New"/>
    <s v="Financial Close"/>
    <n v="60"/>
    <n v="6.8284363914000015E-2"/>
    <n v="2.7313745565600005"/>
    <m/>
    <m/>
    <m/>
  </r>
  <r>
    <x v="24"/>
    <x v="84"/>
    <s v="Other Public Financer"/>
    <n v="75000000"/>
    <s v=" _x000a_Nava Bharat (65%); ZCCM Investment Holdings (35%)"/>
    <s v="SEPCO2"/>
    <s v="DONGFANG"/>
    <x v="38"/>
    <s v="https://ijglobal.com/data/transaction/32254/maamba-coal-fired-power-plant-phase-i-300mw"/>
    <x v="34"/>
    <x v="0"/>
    <x v="25"/>
    <m/>
    <s v="Sponsored by Maamba Collieries, the largest coal mining company in Zambia, the deal funds construction of_x000a_two 150MW coal-fired power plants on the site of an existing coal mine, as well as a new transmission line to connect to the national grid _x000a_This is phase one of two. "/>
    <m/>
    <m/>
    <x v="0"/>
    <s v="Coal Power Plant - New"/>
    <s v="Financial Close"/>
    <n v="60"/>
    <n v="6.8284363914000015E-2"/>
    <n v="2.7313745565600005"/>
    <m/>
    <m/>
    <m/>
  </r>
  <r>
    <x v="24"/>
    <x v="83"/>
    <s v="Other Public Financer"/>
    <m/>
    <s v="ACWA, GE, Thebe Investments"/>
    <m/>
    <m/>
    <x v="478"/>
    <s v="https://ijglobal.com/data/transaction/36786/khanyisa-coal-fired-power-plant-306mw"/>
    <x v="3"/>
    <x v="0"/>
    <x v="1"/>
    <m/>
    <s v="The SAR14 billion financing will be used for the construction of Khanyisa coal-based independent power producer (IPP) in South Africa. Acwa (50%) is developing the 306MW capacity Khanyisa plant in consortium with General Electric (35%) and local investment firm Thebe Investments (15%). Located in Mpumalanga in the east of the country, the plant is planned for operations in December 2019. Lenders on the project include South Africa’s Public Investment Corporation (PIC) and the Development Bank of South Africa (DBSA). The country’s Industrial Development Corporation will also provide debt financing."/>
    <m/>
    <m/>
    <x v="0"/>
    <s v="Coal Power Plant - New"/>
    <s v="Financing"/>
    <n v="153"/>
    <n v="0.17412512798069998"/>
    <n v="6.9650051192279996"/>
    <m/>
    <m/>
    <m/>
  </r>
  <r>
    <x v="24"/>
    <x v="84"/>
    <s v="Other Public Financer"/>
    <m/>
    <s v="ACWA, GE, Thebe Investments"/>
    <m/>
    <m/>
    <x v="478"/>
    <s v="https://ijglobal.com/data/transaction/36786/khanyisa-coal-fired-power-plant-306mw"/>
    <x v="3"/>
    <x v="0"/>
    <x v="1"/>
    <m/>
    <s v="The SAR14 billion financing will be used for the construction of Khanyisa coal-based independent power producer (IPP) in South Africa. Acwa (50%) is developing the 306MW capacity Khanyisa plant in consortium with General Electric (35%) and local investment firm Thebe Investments (15%). Located in Mpumalanga in the east of the country, the plant is planned for operations in December 2019. Lenders on the project include South Africa’s Public Investment Corporation (PIC) and the Development Bank of South Africa (DBSA). The country’s Industrial Development Corporation will also provide debt financing."/>
    <m/>
    <m/>
    <x v="0"/>
    <s v="Coal Power Plant - New"/>
    <s v="Financing"/>
    <n v="153"/>
    <n v="0.17412512798069998"/>
    <n v="6.9650051192279996"/>
    <m/>
    <m/>
    <m/>
  </r>
  <r>
    <x v="24"/>
    <x v="83"/>
    <s v="Other Public Financer"/>
    <m/>
    <s v="Marubeni and KEPCO"/>
    <m/>
    <m/>
    <x v="479"/>
    <s v="https://ijglobal.com/data/transaction/36785/thabametsi-coal-fired-power-plant-5573mw"/>
    <x v="3"/>
    <x v="0"/>
    <x v="1"/>
    <m/>
    <s v="DELAYED BY COURT RULING. The SAR26 billion proceeds will be used for the development of the Thabametsi  coal-based independent power producer (IPP), located in Limpopo province in eastern South Africa. Thabametsi at 557.3MW in size is being developed by Japan's Marubeni (24.5%) in consortium with Korea’s KEPCO. Lenders on the project include South Africa’s Public Investment Corporation (PIC) and the Development Bank of South Africa (DBSA). The country’s Industrial Development Corporation will also provide debt financing."/>
    <s v="https://www.businesslive.co.za/bd/national/science-and-environment/2017-03-13-court-pours-water-on-coal-fired-power-station-plan/"/>
    <s v="http://cer.org.za/news/victory-in-sas-first-climate-change-court-case"/>
    <x v="0"/>
    <s v="Coal Power Plant - New"/>
    <s v="Financing"/>
    <n v="278.64999999999998"/>
    <n v="0.31712396674393495"/>
    <n v="12.684958669757398"/>
    <m/>
    <m/>
    <m/>
  </r>
  <r>
    <x v="24"/>
    <x v="84"/>
    <s v="Other Public Financer"/>
    <m/>
    <s v="Marubeni and KEPCO"/>
    <m/>
    <m/>
    <x v="479"/>
    <s v="https://ijglobal.com/data/transaction/36785/thabametsi-coal-fired-power-plant-5573mw"/>
    <x v="3"/>
    <x v="0"/>
    <x v="1"/>
    <m/>
    <s v="DELAYED BY COURT RULING. The SAR26 billion proceeds will be used for the development of the Thabametsi  coal-based independent power producer (IPP), located in Limpopo province in eastern South Africa. Thabametsi at 557.3MW in size is being developed by Japan's Marubeni (24.5%) in consortium with Korea’s KEPCO. Lenders on the project include South Africa’s Public Investment Corporation (PIC) and the Development Bank of South Africa (DBSA). The country’s Industrial Development Corporation will also provide debt financing."/>
    <s v="https://www.businesslive.co.za/bd/national/science-and-environment/2017-03-13-court-pours-water-on-coal-fired-power-station-plan/"/>
    <s v="http://cer.org.za/news/victory-in-sas-first-climate-change-court-case"/>
    <x v="0"/>
    <s v="Coal Power Plant - New"/>
    <s v="Financing"/>
    <n v="278.64999999999998"/>
    <n v="0.31712396674393495"/>
    <n v="12.684958669757398"/>
    <m/>
    <m/>
    <m/>
  </r>
  <r>
    <x v="24"/>
    <x v="0"/>
    <s v="Multilateral"/>
    <n v="55677479.678912617"/>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24"/>
    <x v="85"/>
    <s v="Export Credit &amp; Insurance"/>
    <m/>
    <s v="Makomo Resources Pty Ltd &amp; Bond Equipment Pty Ltd"/>
    <m/>
    <m/>
    <x v="480"/>
    <s v="http://www.ecic.co.za/About-Us/Projects"/>
    <x v="3"/>
    <x v="0"/>
    <x v="26"/>
    <m/>
    <m/>
    <m/>
    <m/>
    <x v="1"/>
    <s v="Coal - other"/>
    <s v="Financing"/>
    <n v="0"/>
    <n v="0"/>
    <n v="0"/>
    <m/>
    <m/>
    <m/>
  </r>
  <r>
    <x v="24"/>
    <x v="84"/>
    <s v="Other Public Financer"/>
    <n v="21310000"/>
    <m/>
    <m/>
    <m/>
    <x v="481"/>
    <s v="https://ijglobal.com/data/transaction/28351/kakamas-hydroelectric-power-plant-1257mw"/>
    <x v="212"/>
    <x v="0"/>
    <x v="1"/>
    <m/>
    <m/>
    <m/>
    <m/>
    <x v="3"/>
    <s v="Small Hydro"/>
    <s v="Financial Close"/>
    <n v="12.57"/>
    <n v="1.4305574239983E-2"/>
    <n v="0.57222296959931995"/>
    <m/>
    <n v="12.57"/>
    <m/>
  </r>
  <r>
    <x v="24"/>
    <x v="84"/>
    <s v="Other Public Financer"/>
    <n v="12830000"/>
    <m/>
    <m/>
    <m/>
    <x v="482"/>
    <s v="https://ijglobal.com/data/transaction/27593/chaba-wind-farm-financing-21mw"/>
    <x v="213"/>
    <x v="0"/>
    <x v="1"/>
    <m/>
    <m/>
    <m/>
    <m/>
    <x v="3"/>
    <s v="Onshore Wind"/>
    <s v="Financial Close"/>
    <n v="21"/>
    <n v="2.38995273699E-2"/>
    <n v="0.95598109479600002"/>
    <m/>
    <n v="21"/>
    <m/>
  </r>
  <r>
    <x v="24"/>
    <x v="84"/>
    <s v="Other Public Financer"/>
    <n v="24760000"/>
    <m/>
    <m/>
    <m/>
    <x v="483"/>
    <s v="https://ijglobal.com/data/transaction/27592/waainek-wind-farm-financing-24mw"/>
    <x v="214"/>
    <x v="0"/>
    <x v="1"/>
    <m/>
    <m/>
    <m/>
    <m/>
    <x v="3"/>
    <s v="Onshore Wind"/>
    <s v="Financial Close"/>
    <n v="24"/>
    <n v="2.7313745565599998E-2"/>
    <n v="1.092549822624"/>
    <m/>
    <n v="24"/>
    <m/>
  </r>
  <r>
    <x v="24"/>
    <x v="84"/>
    <s v="Other Public Financer"/>
    <n v="38140000"/>
    <m/>
    <m/>
    <m/>
    <x v="484"/>
    <s v="https://ijglobal.com/data/transaction/27591/grassridge-wind-farm-financing-615mw"/>
    <x v="215"/>
    <x v="0"/>
    <x v="1"/>
    <m/>
    <m/>
    <m/>
    <m/>
    <x v="3"/>
    <s v="Onshore Wind"/>
    <s v="Financial Close"/>
    <n v="61.5"/>
    <n v="6.9991473011850006E-2"/>
    <n v="2.7996589204740001"/>
    <m/>
    <n v="61.5"/>
    <m/>
  </r>
  <r>
    <x v="24"/>
    <x v="84"/>
    <s v="Other Public Financer"/>
    <n v="67220000"/>
    <m/>
    <m/>
    <m/>
    <x v="485"/>
    <s v="https://ijglobal.com/data/transaction/31325/de-aar-phase-i-north-wind-power-9648mw"/>
    <x v="216"/>
    <x v="0"/>
    <x v="1"/>
    <m/>
    <m/>
    <m/>
    <m/>
    <x v="3"/>
    <s v="Onshore Wind"/>
    <s v="Financial Close"/>
    <n v="96.48"/>
    <n v="0.109801257173712"/>
    <n v="4.3920502869484803"/>
    <m/>
    <n v="96.48"/>
    <m/>
  </r>
  <r>
    <x v="24"/>
    <x v="84"/>
    <s v="Other Public Financer"/>
    <n v="94210000"/>
    <m/>
    <m/>
    <m/>
    <x v="486"/>
    <s v="https://ijglobal.com/data/transaction/31323/de-aar-phase-ii-north-wind-power-13896mw"/>
    <x v="216"/>
    <x v="0"/>
    <x v="1"/>
    <m/>
    <m/>
    <m/>
    <m/>
    <x v="3"/>
    <s v="Onshore Wind"/>
    <s v="Financial Close"/>
    <n v="138.96"/>
    <n v="0.15814658682482399"/>
    <n v="6.3258634729929595"/>
    <m/>
    <n v="138.96"/>
    <m/>
  </r>
  <r>
    <x v="24"/>
    <x v="83"/>
    <s v="Other Public Financer"/>
    <n v="206480000"/>
    <m/>
    <m/>
    <m/>
    <x v="487"/>
    <s v="https://ijglobal.com/data/transaction/28028/northern-cape-wind-farms-360mw"/>
    <x v="217"/>
    <x v="0"/>
    <x v="1"/>
    <m/>
    <m/>
    <m/>
    <m/>
    <x v="3"/>
    <s v="Onshore Wind"/>
    <s v="Financial Close"/>
    <n v="360"/>
    <n v="0.40970618348400001"/>
    <n v="16.388247339359999"/>
    <m/>
    <n v="360"/>
    <m/>
  </r>
  <r>
    <x v="24"/>
    <x v="83"/>
    <s v="Other Public Financer"/>
    <n v="54130000"/>
    <m/>
    <m/>
    <m/>
    <x v="488"/>
    <s v="https://ijglobal.com/data/transaction/33669/ilangalethu-1-csp-power-plant-100mw"/>
    <x v="218"/>
    <x v="0"/>
    <x v="1"/>
    <m/>
    <m/>
    <m/>
    <m/>
    <x v="3"/>
    <s v="Thermal Solar"/>
    <s v="Financial Close"/>
    <n v="16.666666666666668"/>
    <n v="1.8967878864999999E-2"/>
    <n v="0.75871515459999994"/>
    <m/>
    <n v="16.666666666666668"/>
    <m/>
  </r>
  <r>
    <x v="24"/>
    <x v="83"/>
    <s v="Other Public Financer"/>
    <n v="3380000"/>
    <m/>
    <m/>
    <m/>
    <x v="488"/>
    <s v="https://ijglobal.com/data/transaction/33669/ilangalethu-1-csp-power-plant-100mw"/>
    <x v="218"/>
    <x v="0"/>
    <x v="1"/>
    <m/>
    <m/>
    <m/>
    <m/>
    <x v="3"/>
    <s v="Thermal Solar"/>
    <s v="Financial Close"/>
    <n v="16.666666666666668"/>
    <n v="1.8967878864999999E-2"/>
    <n v="0.75871515459999994"/>
    <m/>
    <n v="16.666666666666668"/>
    <m/>
  </r>
  <r>
    <x v="24"/>
    <x v="83"/>
    <s v="Other Public Financer"/>
    <n v="1300000"/>
    <m/>
    <m/>
    <m/>
    <x v="488"/>
    <s v="https://ijglobal.com/data/transaction/33669/ilangalethu-1-csp-power-plant-100mw"/>
    <x v="218"/>
    <x v="0"/>
    <x v="1"/>
    <m/>
    <m/>
    <m/>
    <m/>
    <x v="3"/>
    <s v="Thermal Solar"/>
    <s v="Financial Close"/>
    <n v="16.666666666666668"/>
    <n v="1.8967878864999999E-2"/>
    <n v="0.75871515459999994"/>
    <m/>
    <n v="16.666666666666668"/>
    <m/>
  </r>
  <r>
    <x v="24"/>
    <x v="84"/>
    <s v="Other Public Financer"/>
    <n v="54130000"/>
    <m/>
    <m/>
    <m/>
    <x v="488"/>
    <s v="https://ijglobal.com/data/transaction/33669/ilangalethu-1-csp-power-plant-100mw"/>
    <x v="218"/>
    <x v="0"/>
    <x v="1"/>
    <m/>
    <m/>
    <m/>
    <m/>
    <x v="3"/>
    <s v="Thermal Solar"/>
    <s v="Financial Close"/>
    <n v="16.666666666666668"/>
    <n v="1.8967878864999999E-2"/>
    <n v="0.75871515459999994"/>
    <m/>
    <n v="16.666666666666668"/>
    <m/>
  </r>
  <r>
    <x v="24"/>
    <x v="84"/>
    <s v="Other Public Financer"/>
    <n v="3380000"/>
    <m/>
    <m/>
    <m/>
    <x v="488"/>
    <s v="https://ijglobal.com/data/transaction/33669/ilangalethu-1-csp-power-plant-100mw"/>
    <x v="218"/>
    <x v="0"/>
    <x v="1"/>
    <m/>
    <m/>
    <m/>
    <m/>
    <x v="3"/>
    <s v="Thermal Solar"/>
    <s v="Financial Close"/>
    <n v="16.666666666666668"/>
    <n v="1.8967878864999999E-2"/>
    <n v="0.75871515459999994"/>
    <m/>
    <n v="16.666666666666668"/>
    <m/>
  </r>
  <r>
    <x v="24"/>
    <x v="84"/>
    <s v="Other Public Financer"/>
    <n v="1300000"/>
    <m/>
    <m/>
    <m/>
    <x v="488"/>
    <s v="https://ijglobal.com/data/transaction/33669/ilangalethu-1-csp-power-plant-100mw"/>
    <x v="218"/>
    <x v="0"/>
    <x v="1"/>
    <m/>
    <m/>
    <m/>
    <m/>
    <x v="3"/>
    <s v="Thermal Solar"/>
    <s v="Financial Close"/>
    <n v="16.666666666666668"/>
    <n v="1.8967878864999999E-2"/>
    <n v="0.75871515459999994"/>
    <m/>
    <n v="16.666666666666668"/>
    <m/>
  </r>
  <r>
    <x v="24"/>
    <x v="83"/>
    <s v="Other Public Financer"/>
    <n v="50030000"/>
    <m/>
    <m/>
    <m/>
    <x v="394"/>
    <s v="https://ijglobal.com/data/transaction/30340/xina-solar-one-ppp-100mw"/>
    <x v="184"/>
    <x v="0"/>
    <x v="1"/>
    <m/>
    <m/>
    <m/>
    <m/>
    <x v="3"/>
    <s v="Thermal Solar"/>
    <s v="Financial Close"/>
    <n v="20"/>
    <n v="2.2761454637999997E-2"/>
    <n v="0.91045818551999991"/>
    <m/>
    <n v="20"/>
    <m/>
  </r>
  <r>
    <x v="24"/>
    <x v="84"/>
    <s v="Other Public Financer"/>
    <n v="50030000"/>
    <m/>
    <m/>
    <m/>
    <x v="394"/>
    <s v="https://ijglobal.com/data/transaction/30340/xina-solar-one-ppp-100mw"/>
    <x v="184"/>
    <x v="0"/>
    <x v="1"/>
    <m/>
    <m/>
    <m/>
    <m/>
    <x v="3"/>
    <s v="Thermal Solar"/>
    <s v="Financial Close"/>
    <n v="20"/>
    <n v="2.2761454637999997E-2"/>
    <n v="0.91045818551999991"/>
    <m/>
    <n v="20"/>
    <m/>
  </r>
  <r>
    <x v="24"/>
    <x v="83"/>
    <s v="Other Public Financer"/>
    <n v="122010000"/>
    <m/>
    <m/>
    <m/>
    <x v="489"/>
    <s v="https://ijglobal.com/data/transaction/32730/kathu-csp-power-plant-100mw"/>
    <x v="105"/>
    <x v="0"/>
    <x v="1"/>
    <m/>
    <m/>
    <m/>
    <m/>
    <x v="3"/>
    <s v="Thermal Solar"/>
    <s v="Financial Close"/>
    <n v="100"/>
    <n v="0.11380727319"/>
    <n v="4.5522909275999996"/>
    <m/>
    <n v="100"/>
    <m/>
  </r>
  <r>
    <x v="25"/>
    <x v="86"/>
    <s v="Export Credit &amp; Insurance"/>
    <n v="600000000"/>
    <s v="Daelim Industrial"/>
    <m/>
    <m/>
    <x v="29"/>
    <s v="http://vietnamnews.vn/economy/248733/thermal-power-project-warms-up.html"/>
    <x v="26"/>
    <x v="6"/>
    <x v="24"/>
    <s v="Thai Binh"/>
    <s v="The loan agreements include a $330 million direct loan with KEXIM, $270 million KEXIM guaranteed loan with the Bank of Tokyo-Mitsubishi UFJ, Ltd (BTMU), CITI bank, HSBC bank, Mizuho bank, Standard Chartered Bank (SCB), and Oversea Chinese Banking Corporation (OCBC)&quot; -- see: http://vietnamnews.vn/economy/248733/thermal-power-project-warms-up.html ; Power plant size. See: http://www.aurecongroup.com/en/projects/resources/vinh-tan-2-coal-fired-power-plant.aspx"/>
    <s v="http://www.koreaexim.go.kr/en/banking/export/loan_03_03.jsp"/>
    <m/>
    <x v="0"/>
    <s v="Coal Power Plant - New"/>
    <s v="Financial Close"/>
    <n v="1200"/>
    <n v="1.36568727828"/>
    <n v="54.627491131200003"/>
    <m/>
    <m/>
    <m/>
  </r>
  <r>
    <x v="25"/>
    <x v="86"/>
    <s v="Export Credit &amp; Insurance"/>
    <n v="455000000"/>
    <s v="Doosan Heavy Industries and Construction"/>
    <s v="DOOS/PAC"/>
    <s v="TOSHIBA"/>
    <x v="295"/>
    <s v="http://www.koreaexim.go.kr/en/banking/export/loan_03_03.jsp"/>
    <x v="2"/>
    <x v="6"/>
    <x v="24"/>
    <s v="Binh Thuan"/>
    <s v="$300 million loan and $155 million coverage; Kexim hasn't provided public information on how much funding they have provided this project. A public news story reports that the total project cost is $1.36 billion of which 85% of the funding is provided by Kexim, K-sure, JBIC, and NEXI. Since we have no way to break the value between these 4 institutions we have given them an equal share of the project (adjusted for the 85% supported by these institutions). We have applied the total value of the direct loan and the loan guarantee."/>
    <s v="https://www.ksure.or.kr/jsp/common/FileDown.jsp?f_idx=1383097284602.pdf&amp;f_sz=542506_x000a_https://tradefinanceanalytics.com/Articles/3436066/Deals-of-the-Year-2014-Asia-Pacific-Winners.html_x000a_"/>
    <m/>
    <x v="0"/>
    <s v="Coal Power Plant - New"/>
    <s v="Financial Close"/>
    <n v="600"/>
    <n v="0.68284363914000001"/>
    <n v="27.313745565600001"/>
    <m/>
    <m/>
    <m/>
  </r>
  <r>
    <x v="25"/>
    <x v="0"/>
    <s v="Multilateral"/>
    <n v="950334.18819987832"/>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25"/>
    <x v="87"/>
    <s v="Export Credit &amp; Insurance"/>
    <n v="0"/>
    <s v="KEPCO /JSC BALKHASH TPP"/>
    <s v="SAMSUNG"/>
    <m/>
    <x v="490"/>
    <s v="https://ijglobal.com/articles/102113/samsung-cancels-1-320mw-kazakhstan-coal-fired"/>
    <x v="219"/>
    <x v="8"/>
    <x v="51"/>
    <s v="Zhambyl"/>
    <m/>
    <s v="http://www.koreatimes.co.kr/www/news/biz/2015/08/123_184918.html"/>
    <m/>
    <x v="0"/>
    <s v="Coal Power Plant - New"/>
    <s v="Deferred"/>
    <n v="1320"/>
    <n v="1.5022560061080001"/>
    <n v="60.090240244320007"/>
    <m/>
    <m/>
    <m/>
  </r>
  <r>
    <x v="25"/>
    <x v="86"/>
    <s v="Export Credit &amp; Insurance"/>
    <n v="480000000"/>
    <s v="PetroVietnam"/>
    <s v="PTSC"/>
    <s v="DOOSAN"/>
    <x v="491"/>
    <s v="http://nangluongvietnam.vn/news/en/electricity/signing-the-credit-and-commercial-loan-contracts-for-song-hau-1-thermal-power-project.html"/>
    <x v="220"/>
    <x v="6"/>
    <x v="24"/>
    <s v="Hau Giang"/>
    <m/>
    <s v="https://www.koreaexim.go.kr/site/program/board/basicboard/list?boardtypeid=18&amp;menuid=002002004005"/>
    <m/>
    <x v="0"/>
    <s v="Coal Power Plant - New"/>
    <s v="Financial Close"/>
    <n v="600"/>
    <n v="0.68284363914000001"/>
    <n v="27.313745565600001"/>
    <m/>
    <m/>
    <m/>
  </r>
  <r>
    <x v="25"/>
    <x v="87"/>
    <s v="Export Credit &amp; Insurance"/>
    <n v="507000000"/>
    <s v="PetroVietnam"/>
    <s v="PTSC"/>
    <s v="DOOSAN"/>
    <x v="491"/>
    <s v="http://nangluongvietnam.vn/news/en/electricity/signing-the-credit-and-commercial-loan-contracts-for-song-hau-1-thermal-power-project.html"/>
    <x v="220"/>
    <x v="6"/>
    <x v="24"/>
    <s v="Hau Giang"/>
    <m/>
    <s v="https://ijglobal.com/data/transaction/35185/song-hau-1-coal-fired-power-plant-1200mw"/>
    <m/>
    <x v="0"/>
    <s v="Coal Power Plant - New"/>
    <s v="Financial Close"/>
    <n v="600"/>
    <n v="0.68284363914000001"/>
    <n v="27.313745565600001"/>
    <m/>
    <m/>
    <m/>
  </r>
  <r>
    <x v="25"/>
    <x v="87"/>
    <s v="Export Credit &amp; Insurance"/>
    <n v="401000000"/>
    <s v="Adaro Energy"/>
    <m/>
    <m/>
    <x v="492"/>
    <s v="https://ijglobal.com/data/transaction/32622"/>
    <x v="221"/>
    <x v="6"/>
    <x v="20"/>
    <s v="South Kalimantan"/>
    <m/>
    <s v="https://ijglobal.com/data/transaction/32622/kalsel-coal-fired-power-plant-200mw_x000a_https://www.falcongrp.com/wp-content/uploads/2016/07/TF-Mag-July-16-web.pdf"/>
    <m/>
    <x v="0"/>
    <s v="Coal Power Plant - New"/>
    <s v="Financial Close"/>
    <n v="100"/>
    <n v="0.11380727319"/>
    <n v="4.5522909275999996"/>
    <m/>
    <m/>
    <m/>
  </r>
  <r>
    <x v="25"/>
    <x v="88"/>
    <s v="Other Public Financer"/>
    <n v="87830000"/>
    <s v="Adaro Energy"/>
    <m/>
    <m/>
    <x v="492"/>
    <s v="https://ijglobal.com/data/transaction/32622"/>
    <x v="221"/>
    <x v="6"/>
    <x v="20"/>
    <s v="South Kalimantan"/>
    <m/>
    <s v="https://ijglobal.com/data/transaction/32622/kalsel-coal-fired-power-plant-200mw_x000a_https://www.falcongrp.com/wp-content/uploads/2016/07/TF-Mag-July-16-web.pdf"/>
    <m/>
    <x v="0"/>
    <s v="Coal Power Plant - New"/>
    <s v="Financial Close"/>
    <n v="100"/>
    <n v="0.11380727319"/>
    <n v="4.5522909275999996"/>
    <m/>
    <m/>
    <m/>
  </r>
  <r>
    <x v="25"/>
    <x v="15"/>
    <s v="TBD"/>
    <m/>
    <s v="NTPC"/>
    <s v="Doosan Power Systems"/>
    <m/>
    <x v="493"/>
    <s v="http://www.powerengineeringint.com/articles/2016/02/doosan-heavy-wins-294m-coal-fired-power-project.html"/>
    <x v="3"/>
    <x v="5"/>
    <x v="50"/>
    <s v="Bihar"/>
    <s v="Doosan Heavy Industries &amp; Construction has won a $294.35m contract to build three boilers for a thermal power plant in Bihar, India._x000a_Doosan Heavy Industries adopted a localisation strategy through the acquisition of AE&amp;E Chennai Works Private, a local manufacturer of industrial goods, in 2011, to set up Doosan Power Systems India._x000a_The Bihar project is expected to be completed in October 2018."/>
    <s v="http://timesofindia.indiatimes.com/city/patna/ntpc-to-commissionstage-i-of-barh-plant/articleshow/56818894.cms"/>
    <m/>
    <x v="0"/>
    <s v="Coal Power Plant - Expansion"/>
    <s v="Financing"/>
    <n v="1980"/>
    <n v="2.2533840091619997"/>
    <n v="90.135360366479986"/>
    <m/>
    <m/>
    <m/>
  </r>
  <r>
    <x v="25"/>
    <x v="15"/>
    <s v="TBD"/>
    <m/>
    <s v="UTTAR PRADESH RAJYA VIDYUT"/>
    <s v="Doosan Power Systems India"/>
    <m/>
    <x v="494"/>
    <s v="http://www.4-traders.com/DOOSAN-HEAVY-INDUSTRIES-C-6493909/news/Doosan-Heavy-Industries-Constrctn-wins-2-3bn-contract-to-build-coal-fired-power-plants-in-India-23617357/"/>
    <x v="3"/>
    <x v="5"/>
    <x v="50"/>
    <s v="Etah, Uttar Pradesh"/>
    <s v="The firm will also build another two generators, each with 660MW capacity, at the Jawaharpur coal-fired electrical power plant in Etah. Doosan expects to complete work at the Obra-C and Jawaharpur sites by October 2020 and February 2021 respectively. perhaps domestic financing, TBD"/>
    <s v="https://www.worldcoal.com/power/18012017/doosan-to-construct-coal-fired-thermal-power-plants-in-india/"/>
    <m/>
    <x v="0"/>
    <s v="Coal Power Plant - New"/>
    <s v="Financing"/>
    <n v="1320"/>
    <n v="1.5022560061080001"/>
    <n v="60.090240244320007"/>
    <m/>
    <m/>
    <m/>
  </r>
  <r>
    <x v="25"/>
    <x v="15"/>
    <s v="TBD"/>
    <m/>
    <s v="UTTAR PRADESH RAJYA VIDYUT"/>
    <s v="Doosan Power Systems India"/>
    <s v="DOOSAN"/>
    <x v="495"/>
    <s v="http://english.hankyung.com/finance/2016/12/26/1528561/doosan-heavy-ind-rises-on-news-of-winning-28-tril-won-indian-project"/>
    <x v="3"/>
    <x v="5"/>
    <x v="50"/>
    <s v="Sonebhadra."/>
    <s v="Under the contract, Doosan will build two power generators, each with 660MW capacity, at the Obra-C coal-fired electrical power plant in Sonebhadra. Doosan expects to complete work at the Obra-C and Jawaharpur sites by October 2020 and February 2021 respectively."/>
    <m/>
    <s v="http://www.4-traders.com/DOOSAN-HEAVY-INDUSTRIES-C-6493909/news/Doosan-Heavy-Industries-Constrctn-wins-2-3bn-contract-to-build-coal-fired-power-plants-in-India-23617357/"/>
    <x v="0"/>
    <s v="Coal Power Plant - New"/>
    <s v="Financing"/>
    <n v="1320"/>
    <n v="1.5022560061080001"/>
    <n v="60.090240244320007"/>
    <m/>
    <m/>
    <m/>
  </r>
  <r>
    <x v="25"/>
    <x v="15"/>
    <s v="TBD"/>
    <n v="0"/>
    <s v="Marubeni, Korea Midland Power, Samtan and PT Indika Energy"/>
    <m/>
    <m/>
    <x v="496"/>
    <s v="https://ijglobal.com/articles/100606/marubeni-signs-mou-for-cirebon-3-coal-fired"/>
    <x v="3"/>
    <x v="6"/>
    <x v="20"/>
    <m/>
    <s v="The financing will be used for the third expansion of 1000MW of Cirebon independent coal-fired power plant, located next to the existing 660MW coal-fired Cirebon unit, which has been in operation since 2012. The plant is located in Indonesia's West Java province on Java Island. The sponsors of the project are: Marubeni, Korea Midland Power, Samtan and PT Indika Energi. The total costs of the construction of  the third 1,000MW coal-fired unit is estimated to be roughly $2 billion."/>
    <m/>
    <m/>
    <x v="0"/>
    <s v="Coal Power Plant - Expansion"/>
    <s v="Financing"/>
    <n v="1000"/>
    <n v="1.1380727319000001"/>
    <n v="45.522909276000007"/>
    <m/>
    <m/>
    <m/>
  </r>
  <r>
    <x v="25"/>
    <x v="86"/>
    <s v="Export Credit &amp; Insurance"/>
    <n v="0"/>
    <s v="GDF Suez, Sojitz, POSCO and Newcom"/>
    <m/>
    <m/>
    <x v="315"/>
    <s v="https://ijglobal.com/data/transaction/31251/ulaanbaatar-chp5-power-plant"/>
    <x v="3"/>
    <x v="8"/>
    <x v="38"/>
    <m/>
    <s v="The financing will be used for the construction of the CHP5 coal fired combined heat and power plant in Mongolia's capital, Ulaanbaatar. GDF Suez (30%), Sojitz(30%), POSCO(30%) and Newcom(10%) are the sponsors of the project.  The Central Region Electricity Transmission Company will be the offtaker for the power under a 25-year PPA, while the Central Region Electricity Transmission Company will purchase the heat. The total cost of the project is estimated at $1.2billion The operations are expected to begin in 2017._x000a__x000a_Only the financers are known at this point. The specific amounts are unknown. "/>
    <s v="https://ijglobal.com/data/transaction/31251/ulaanbaatar-chp5-power-plant"/>
    <m/>
    <x v="0"/>
    <s v="Coal Power Plant - New"/>
    <s v="Financing"/>
    <n v="115.875"/>
    <n v="0.1318741778089125"/>
    <n v="5.2749671123565003"/>
    <m/>
    <m/>
    <m/>
  </r>
  <r>
    <x v="25"/>
    <x v="86"/>
    <s v="Export Credit &amp; Insurance"/>
    <n v="250000000"/>
    <s v="Mitsui, Vale"/>
    <m/>
    <m/>
    <x v="357"/>
    <s v="https://ijglobal.com/data/transaction/28563"/>
    <x v="3"/>
    <x v="0"/>
    <x v="40"/>
    <m/>
    <s v="The total finance amount is $500000000; total power plant size is 300 MW._x000a__x000a_Hasn't been decided eventually who will finance the project. Current candidates include KEXIM and African Development Bank. For the purpose of our calculation, the total finance and power plant size are evenly divided among KEXIM and African Development Bank, each with $250000000. _x000a__x000a_African Development Bank's finance are divided among its members based on their shares in the bank. The power plant size and emission responsible of African Development Bank are divided evenly among its members. "/>
    <m/>
    <m/>
    <x v="0"/>
    <s v="Coal Power Plant - New"/>
    <s v="Financing"/>
    <n v="150"/>
    <n v="0.170710909785"/>
    <n v="6.8284363914000004"/>
    <m/>
    <m/>
    <m/>
  </r>
  <r>
    <x v="25"/>
    <x v="15"/>
    <s v="TBD"/>
    <m/>
    <s v="E-CL"/>
    <s v="SKE&amp;C"/>
    <s v="SKODA"/>
    <x v="497"/>
    <s v="Platts"/>
    <x v="3"/>
    <x v="4"/>
    <x v="10"/>
    <s v="Mejillones"/>
    <m/>
    <s v="http://www.sourcewatch.org/index.php/Mejillones_power_station"/>
    <m/>
    <x v="0"/>
    <m/>
    <s v="Planned"/>
    <n v="375"/>
    <n v="0.42677727446250008"/>
    <n v="17.071090978500003"/>
    <m/>
    <m/>
    <m/>
  </r>
  <r>
    <x v="25"/>
    <x v="89"/>
    <s v="Export Credit &amp; Insurance"/>
    <n v="300000000"/>
    <s v="Marubeni, Posco"/>
    <s v="GSEC (Korea)"/>
    <m/>
    <x v="307"/>
    <s v="https://ijglobal.com/data/transaction/33236/morupule-coal-fired-plant-300mw-ppp"/>
    <x v="3"/>
    <x v="0"/>
    <x v="74"/>
    <s v="Palapye, Central"/>
    <s v="IJGlobal article indicates prospective JBIC and NEXI participation._x000a_$800m total project cost; Morupule B Phase II Units 5 &amp; 6; subcritical. &quot;BPC plans to expand its 600MW Morupule B power station by another 300MW, but the project has been staled by a dispute over an $800 million guarantee between the contractors and government. Energy minister, Sadique Kebonang recently told BusinessWeek that granting the guarantee would need Parliament approval. Botswana’s Parliament is currently in recess and will sit in July.&quot; http://www.mmegi.bw/index.php?aid=69414&amp;dir=2017/june/09"/>
    <s v="http://www.koreatimes.co.kr/www/news/biz/2015/11/123_192083.html"/>
    <m/>
    <x v="0"/>
    <s v="Coal Power Plant - New"/>
    <s v="Financing"/>
    <n v="100"/>
    <n v="0.11380727319"/>
    <n v="4.5522909275999996"/>
    <m/>
    <m/>
    <m/>
  </r>
  <r>
    <x v="25"/>
    <x v="86"/>
    <s v="Export Credit &amp; Insurance"/>
    <m/>
    <s v="Saudi Arabia’s Acwa Power and South Korea’s Taekwang Power Holdings"/>
    <s v="Posco Engineering &amp; Construction"/>
    <m/>
    <x v="498"/>
    <s v="https://ijglobal.com/data/transaction/21613/nam-dinh-1-coal-fired-power-plant-1200mw-ipp"/>
    <x v="3"/>
    <x v="6"/>
    <x v="24"/>
    <s v="Hai Hau District, Nam Dinh Province"/>
    <s v="Mizuho is leading the lending banks, with DBS, DZ Bank and Korea Development Bank, MUFG and Standard Chartered also participating. Export-Import Bank of Korea and Korea Trade Insurance Corporation will also be providing financing. _x000a_expected to close by the end of 2017; 2 billion USD"/>
    <s v="https://ijglobal.com/articles/105945/nam-dinh-1-coal-fired-ppa-to-sign-in-june"/>
    <s v="https://www.vietnambreakingnews.com/2017/07/two-new-thermal-power-plants-licensed-4/"/>
    <x v="0"/>
    <s v="Coal Power Plant - New"/>
    <s v="Financing"/>
    <n v="400"/>
    <n v="0.45522909276000001"/>
    <n v="18.209163710399999"/>
    <m/>
    <m/>
    <m/>
  </r>
  <r>
    <x v="25"/>
    <x v="90"/>
    <s v="TBD"/>
    <m/>
    <s v="Korea Western Power (KOWEPO)"/>
    <s v="Korea Western Power (KOWEPO)"/>
    <m/>
    <x v="499"/>
    <s v="http://www.baomoi.com/han-quoc-xay-nha-may-nhiet-dien-chay-than-1-85-ty-usd-tai-quang-tri/c/21367216.epi"/>
    <x v="3"/>
    <x v="6"/>
    <x v="24"/>
    <s v="Quang Tri province"/>
    <s v="total investment 1.85B"/>
    <m/>
    <m/>
    <x v="0"/>
    <s v="Coal Power Plant - New"/>
    <s v="Financing"/>
    <n v="1200"/>
    <n v="1.36568727828"/>
    <n v="54.627491131200003"/>
    <m/>
    <m/>
    <m/>
  </r>
  <r>
    <x v="25"/>
    <x v="86"/>
    <s v="TBD"/>
    <m/>
    <s v="VIETNAM NATL INDUSTRY CONSTR"/>
    <s v="POSCO"/>
    <m/>
    <x v="500"/>
    <s v="http://truyenhinhnghean.vn/kinh-te/201510/nha-may-nhiet-dien-quynh-lap-2-se-do-cong-ty-posco-enegy-dau-tu-xay-dung-645164/"/>
    <x v="3"/>
    <x v="6"/>
    <x v="24"/>
    <s v="Quynh Lap, Hoang Mai town. Nghe An province "/>
    <s v="expected total investment of nearly $ 2.5 billion; Concerning financing, the Korean company POSCO enegy commitment will be responsible for arranging, implementing, including equity and debt financing to proceed with construction of the plant in the form of BOT. The ratio of equity and borrowed capital is 25/75%. The loan will be invested to Fund directly export credits and export credit guarantees from the Bank of Korea Eximbank and the Korean Financial Group ensures, with 15-year loan period"/>
    <m/>
    <m/>
    <x v="0"/>
    <s v="Coal Power Plant"/>
    <s v="Financing"/>
    <n v="600"/>
    <n v="0.68284363914000001"/>
    <n v="27.313745565600001"/>
    <m/>
    <m/>
    <m/>
  </r>
  <r>
    <x v="25"/>
    <x v="87"/>
    <s v="TBD"/>
    <m/>
    <s v="VIETNAM NATL INDUSTRY CONSTR"/>
    <s v="POSCO"/>
    <m/>
    <x v="500"/>
    <s v="http://truyenhinhnghean.vn/kinh-te/201510/nha-may-nhiet-dien-quynh-lap-2-se-do-cong-ty-posco-enegy-dau-tu-xay-dung-645164/"/>
    <x v="3"/>
    <x v="6"/>
    <x v="24"/>
    <s v="Quynh Lap, Hoang Mai town. Nghe An province "/>
    <s v="expected total investment of nearly $ 2.5 billion; Concerning financing, the Korean company POSCO enegy commitment will be responsible for arranging, implementing, including equity and debt financing to proceed with construction of the plant in the form of BOT. The ratio of equity and borrowed capital is 25/75%. The loan will be invested to Fund directly export credits and export credit guarantees from the Bank of Korea Eximbank and the Korean Financial Group ensures, with 15-year loan period"/>
    <m/>
    <m/>
    <x v="0"/>
    <s v="Coal Power Plant"/>
    <s v="Financing"/>
    <n v="600"/>
    <n v="0.68284363914000001"/>
    <n v="27.313745565600001"/>
    <m/>
    <m/>
    <m/>
  </r>
  <r>
    <x v="25"/>
    <x v="87"/>
    <s v="Export Credit &amp; Insurance"/>
    <m/>
    <s v="Saudi Arabia’s Acwa Power and South Korea’s Taekwang Power Holdings"/>
    <s v="Posco Engineering &amp; Construction"/>
    <m/>
    <x v="498"/>
    <s v="https://ijglobal.com/data/transaction/21613/nam-dinh-1-coal-fired-power-plant-1200mw-ipp"/>
    <x v="3"/>
    <x v="6"/>
    <x v="24"/>
    <s v="Hai Hau District, Nam Dinh Province"/>
    <s v="Mizuho is leading the lending banks, with DBS, DZ Bank and Korea Development Bank, MUFG and Standard Chartered also participating. Export-Import Bank of Korea and Korea Trade Insurance Corporation will also be providing financing. _x000a_expected to close by the end of 2017; 2 billion USD"/>
    <s v="https://ijglobal.com/articles/105945/nam-dinh-1-coal-fired-ppa-to-sign-in-june"/>
    <s v="https://www.vietnambreakingnews.com/2017/07/two-new-thermal-power-plants-licensed-4/"/>
    <x v="0"/>
    <s v="Coal Power Plant - New"/>
    <s v="Financing"/>
    <n v="400"/>
    <n v="0.45522909276000001"/>
    <n v="18.209163710399999"/>
    <m/>
    <m/>
    <m/>
  </r>
  <r>
    <x v="25"/>
    <x v="88"/>
    <s v="Other Public Financer"/>
    <m/>
    <s v="Saudi Arabia’s Acwa Power and South Korea’s Taekwang Power Holdings"/>
    <s v="Posco Engineering &amp; Construction"/>
    <m/>
    <x v="498"/>
    <s v="https://ijglobal.com/data/transaction/21613/nam-dinh-1-coal-fired-power-plant-1200mw-ipp"/>
    <x v="3"/>
    <x v="6"/>
    <x v="24"/>
    <s v="Hai Hau District, Nam Dinh Province"/>
    <s v="Mizuho is leading the lending banks, with DBS, DZ Bank and Korea Development Bank, MUFG and Standard Chartered also participating. Export-Import Bank of Korea and Korea Trade Insurance Corporation will also be providing financing. _x000a_expected to close by the end of 2017; 2 billion USD"/>
    <s v="https://ijglobal.com/articles/105945/nam-dinh-1-coal-fired-ppa-to-sign-in-june"/>
    <s v="https://www.vietnambreakingnews.com/2017/07/two-new-thermal-power-plants-licensed-4/"/>
    <x v="0"/>
    <s v="Coal Power Plant - New"/>
    <s v="Financing"/>
    <n v="400"/>
    <n v="0.45522909276000001"/>
    <n v="18.209163710399999"/>
    <m/>
    <m/>
    <m/>
  </r>
  <r>
    <x v="25"/>
    <x v="86"/>
    <s v="Export Credit &amp; Insurance"/>
    <n v="862500000"/>
    <s v="Marubeni, KEPCO"/>
    <m/>
    <m/>
    <x v="318"/>
    <s v="https://ijglobal.com/data/transaction/28855/nghi-son-2-coal-fired-power-plant-1200mw"/>
    <x v="3"/>
    <x v="6"/>
    <x v="24"/>
    <m/>
    <s v="JICA has already supported this project; JBIC expected to provide $862.5 million according to IJGlobal. PPA set to be signed by the end of June 2017, according to IJGlobal. https://www.vietnambreakingnews.com/2017/07/two-new-thermal-power-plants-licensed-4/"/>
    <s v="https://ijglobal.com/data/transaction/28855/nghi-son-2-coal-fired-power-plant-1200mw"/>
    <s v="https://ijglobal.com/articles/105890/nghi-son-2-vietnam-coal-fired-set-to-sign-ppa"/>
    <x v="0"/>
    <s v="Coal Power Plant - New"/>
    <s v="Financing"/>
    <n v="600"/>
    <n v="0.68284363914000001"/>
    <n v="27.313745565600001"/>
    <m/>
    <m/>
    <m/>
  </r>
  <r>
    <x v="25"/>
    <x v="86"/>
    <s v="Export Credit &amp; Insurance"/>
    <n v="300000000"/>
    <s v="Vietnam Electricity Group (EVN)"/>
    <s v="Mitsubishi Corporation (MC), together with Doosan Heavy Industries &amp; Construction of Korea (Doosan) and Vietnamese partners, Power Engineering Consulting Joint Stock Company 2 and Pacific Corporation"/>
    <m/>
    <x v="319"/>
    <s v="http://www.mitsubishicorp.com/jp/en/pr/archive/2016/html/0000029773.html"/>
    <x v="3"/>
    <x v="6"/>
    <x v="24"/>
    <s v="Binh Thuan province"/>
    <s v="may be 100% equity"/>
    <s v="http://www.genco3.com/d4/news/Le-khoi-cong-xay-dung-Nha-may-Nhiet-dien-Vinh-Tan-4-Mo-rong-1-317.aspx"/>
    <s v="http://english.vietnamnet.vn/fms/business/152704/business-in-brief-20-1.html"/>
    <x v="0"/>
    <s v="Coal Power Plant - New"/>
    <s v="Financing"/>
    <n v="150"/>
    <n v="0.170710909785"/>
    <n v="6.8284363914000004"/>
    <m/>
    <m/>
    <m/>
  </r>
  <r>
    <x v="25"/>
    <x v="87"/>
    <s v="Export Credit &amp; Insurance"/>
    <n v="455000000"/>
    <s v="Vietnam Electricity Group (EVN)"/>
    <s v="Mitsubishi Corporation (MC), together with Doosan Heavy Industries &amp; Construction of Korea (Doosan) and Vietnamese partners, Power Engineering Consulting Joint Stock Company 2 and Pacific Corporation"/>
    <m/>
    <x v="319"/>
    <s v="http://www.mitsubishicorp.com/jp/en/pr/archive/2016/html/0000029773.html"/>
    <x v="3"/>
    <x v="6"/>
    <x v="24"/>
    <s v="Binh Thuan province"/>
    <s v="may be 100% equity"/>
    <s v="http://www.genco3.com/d4/news/Le-khoi-cong-xay-dung-Nha-may-Nhiet-dien-Vinh-Tan-4-Mo-rong-1-317.aspx"/>
    <s v="https://ijglobal.com/data/transaction/31707/vinh-tan-4-coal-fired-thermal-power-plant-1200mw"/>
    <x v="0"/>
    <s v="Coal Power Plant - New"/>
    <s v="Financing"/>
    <n v="150"/>
    <n v="0.170710909785"/>
    <n v="6.8284363914000004"/>
    <m/>
    <m/>
    <m/>
  </r>
  <r>
    <x v="25"/>
    <x v="15"/>
    <s v="TBD"/>
    <m/>
    <m/>
    <s v="Samsung C&amp;T (Korea) (BOT)"/>
    <m/>
    <x v="501"/>
    <s v="http://tuoitre.vn/tin/kinh-te/20141015/samsung-chuan-bi-dau-tu-them-25-ti-usd-xay-nhiet-dien-o-ha-tinh/658597.html"/>
    <x v="3"/>
    <x v="6"/>
    <x v="24"/>
    <m/>
    <m/>
    <m/>
    <m/>
    <x v="0"/>
    <s v="Coal Power Plant - New"/>
    <s v="Financing"/>
    <m/>
    <n v="0"/>
    <n v="0"/>
    <m/>
    <m/>
    <m/>
  </r>
  <r>
    <x v="25"/>
    <x v="15"/>
    <s v="TBD"/>
    <n v="204000000"/>
    <m/>
    <s v="Doosan Heavy Industries"/>
    <m/>
    <x v="502"/>
    <s v="http://www.sundaystandard.info/botswana-fresh-multi-billion-power-project-blunder"/>
    <x v="3"/>
    <x v="0"/>
    <x v="74"/>
    <s v="https://ijglobal.com/data/transaction/33236/morupule-coal-fired-plant-300mw-ppp"/>
    <s v="The tender to refurbish the 120MW Morupule A power station was awarded to South Korea’s Doosan Heavy Industries at a cost of $204 million also under controversial circumstances."/>
    <m/>
    <m/>
    <x v="0"/>
    <s v="Coal Power Plant - Existing"/>
    <s v="Financing"/>
    <n v="120"/>
    <n v="0.13656872782800003"/>
    <n v="5.462749113120001"/>
    <m/>
    <m/>
    <m/>
  </r>
  <r>
    <x v="25"/>
    <x v="15"/>
    <s v="TBD"/>
    <m/>
    <s v="COLBUN SA"/>
    <s v="POSCO"/>
    <s v="Doosan/Ansaldo"/>
    <x v="503"/>
    <s v="Platts"/>
    <x v="3"/>
    <x v="4"/>
    <x v="10"/>
    <s v="Puerto Coronel"/>
    <s v="Looks like this project has been canceled? (From this article in spanish): http://www.cooperativa.cl/noticias/pais/energia/generacion-electrica/colbun-decidio-no-ampliar-termoelectrica-santa-maria-de-coronel/2017-06-23/220700.html: "/>
    <s v="https://www.google.com.tw/url?sa=t&amp;rct=j&amp;q=&amp;esrc=s&amp;source=web&amp;cd=6&amp;cad=rja&amp;uact=8&amp;ved=0ahUKEwjZ1ayG0OTUAhVL_4MKHdLdDQ0QFgg0MAU&amp;url=http%3A%2F%2Fwww.sourcewatch.org%2Findex.php%2FSanta_Mar%25C3%25ADa_power_station&amp;usg=AFQjCNHFh8svfEDxEoPJJ6UEQqVk-Ouwcw"/>
    <s v="In Spanish: http://www.cooperativa.cl/noticias/pais/energia/generacion-electrica/colbun-decidio-no-ampliar-termoelectrica-santa-maria-de-coronel/2017-06-23/220700.html"/>
    <x v="0"/>
    <m/>
    <s v="Deferred"/>
    <n v="404"/>
    <n v="0.45978138368759996"/>
    <n v="18.391255347504"/>
    <m/>
    <m/>
    <m/>
  </r>
  <r>
    <x v="25"/>
    <x v="86"/>
    <m/>
    <m/>
    <s v="United Arab Emirates’ Al Nowais Company"/>
    <m/>
    <m/>
    <x v="504"/>
    <s v="https://ijglobal.com/data/transaction/36716/ayoun-moussa-coal-fired-power-plant-2460mw"/>
    <x v="45"/>
    <x v="7"/>
    <x v="32"/>
    <s v="Suez"/>
    <m/>
    <s v="http://www.sourcewatch.org/index.php/Ayoun_Moussa_power_station"/>
    <s v="http://www.dailynewsegypt.com/2017/01/30/613491/"/>
    <x v="0"/>
    <s v="Coal Power Plant - New"/>
    <s v="Delayed"/>
    <n v="1230"/>
    <n v="1.3998294602370001"/>
    <n v="55.993178409480002"/>
    <m/>
    <m/>
    <m/>
  </r>
  <r>
    <x v="25"/>
    <x v="89"/>
    <m/>
    <n v="417600000"/>
    <s v="Marubeni, Korea Midland Power, Samtan and PT Indika Energy"/>
    <s v="HYUNDAI"/>
    <s v="TOSHIBA"/>
    <x v="323"/>
    <s v="http://www.jbic.go.jp/en/efforts/environment/projects/49263"/>
    <x v="45"/>
    <x v="6"/>
    <x v="20"/>
    <s v="West Java"/>
    <s v="[Stalled]. This project reached financial close on April 18th, 2017, but then a court revoked the plant permit. https://ijglobal.com/articles/105966/court-revokes-cirebon-2-power-plant-permit-after-financial-close "/>
    <s v="https://ijglobal.com/data/transaction/34565"/>
    <s v="https://ijglobal.com/articles/105988/cirebon-2-consortium-expects-quick-appeal-on-revoked-permit"/>
    <x v="0"/>
    <s v="Coal Power Plant - Expansion"/>
    <s v="Deferred"/>
    <n v="333.33333333333331"/>
    <n v="0.37935757730000003"/>
    <n v="15.174303092000001"/>
    <m/>
    <m/>
    <m/>
  </r>
  <r>
    <x v="25"/>
    <x v="3"/>
    <s v="Multilateral"/>
    <n v="2023013.8552251642"/>
    <s v="EPS"/>
    <m/>
    <m/>
    <x v="7"/>
    <s v="http://www.ebrd.com/work-with-us/projects/psd/eps-restructuring.html"/>
    <x v="5"/>
    <x v="3"/>
    <x v="5"/>
    <m/>
    <s v="Financing for restructing of Serbian state-owned utility EPS, which is lignite-heavy and maintains plans for significant lignite expansion. _x000a__x000a_While not exclusively for coal, this investment is included because of EPS lignite expansion plans and lack of prior EBRD investments in EPS resulting in observable changes in supply mix or capacity addition plans."/>
    <s v="http://www.ebrd.com/news/2015/ebrd-supports-reform-of-serbias-power-sector-with-200-million-loan-to-eps.html_x000a_http://bankwatch.org/publications/issues-serbian-electricity-company-eps-need-be-addressed-within - New-ebrd-loan_x000a_http://bankwatch.org/bwmail/62/ebrd-digs-deeper-serbian-coal-king"/>
    <m/>
    <x v="1"/>
    <s v="Other"/>
    <s v="Financial Close"/>
    <m/>
    <n v="0"/>
    <n v="0"/>
    <m/>
    <m/>
    <m/>
  </r>
  <r>
    <x v="25"/>
    <x v="0"/>
    <s v="Multilateral"/>
    <n v="5345629.808624316"/>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25"/>
    <x v="86"/>
    <s v="Other Public Financer"/>
    <n v="52500000"/>
    <s v="PT Tanggamus Electric Power"/>
    <m/>
    <m/>
    <x v="505"/>
    <s v="https://ijglobal.com/data/transaction/33050/semangka-hydroelectric-power-566mw"/>
    <x v="222"/>
    <x v="6"/>
    <x v="20"/>
    <m/>
    <m/>
    <m/>
    <m/>
    <x v="3"/>
    <s v="Small Hydro"/>
    <s v="Financial Close"/>
    <n v="56.6"/>
    <n v="6.4414916625539997E-2"/>
    <n v="2.5765966650215999"/>
    <m/>
    <n v="56.6"/>
    <m/>
  </r>
  <r>
    <x v="25"/>
    <x v="88"/>
    <s v="Other Public Financer"/>
    <n v="50000000"/>
    <m/>
    <m/>
    <m/>
    <x v="348"/>
    <s v="https://ijglobal.com/data/transaction/28103/la-bufa-wind-farm-130mw"/>
    <x v="150"/>
    <x v="4"/>
    <x v="76"/>
    <m/>
    <m/>
    <m/>
    <m/>
    <x v="3"/>
    <s v="Onshore Wind"/>
    <s v="Financial Close"/>
    <n v="130"/>
    <n v="0.14794945514700003"/>
    <n v="5.9179782058800008"/>
    <m/>
    <n v="130"/>
    <m/>
  </r>
  <r>
    <x v="25"/>
    <x v="88"/>
    <s v="Other Public Financer"/>
    <n v="18320000"/>
    <m/>
    <m/>
    <m/>
    <x v="506"/>
    <s v="https://ijglobal.com/data/transaction/35269/windsor-pv-solar-farm-50mw"/>
    <x v="7"/>
    <x v="9"/>
    <x v="66"/>
    <s v="Ontario"/>
    <m/>
    <m/>
    <m/>
    <x v="3"/>
    <s v="Photovoltaic Solar"/>
    <s v="Financial Close"/>
    <n v="25"/>
    <n v="2.8451818297500001E-2"/>
    <n v="1.1380727318999999"/>
    <m/>
    <n v="25"/>
    <m/>
  </r>
  <r>
    <x v="25"/>
    <x v="88"/>
    <s v="Other Public Financer"/>
    <n v="2280000"/>
    <m/>
    <m/>
    <m/>
    <x v="506"/>
    <s v="https://ijglobal.com/data/transaction/35269/windsor-pv-solar-farm-50mw"/>
    <x v="7"/>
    <x v="9"/>
    <x v="66"/>
    <s v="Ontario"/>
    <m/>
    <m/>
    <m/>
    <x v="3"/>
    <s v="Photovoltaic Solar"/>
    <s v="Financial Close"/>
    <n v="25"/>
    <n v="2.8451818297500001E-2"/>
    <n v="1.1380727318999999"/>
    <m/>
    <n v="25"/>
    <m/>
  </r>
  <r>
    <x v="25"/>
    <x v="88"/>
    <s v="Other Public Financer"/>
    <n v="17310000"/>
    <m/>
    <m/>
    <m/>
    <x v="507"/>
    <s v="https://ijglobal.com/data/transaction/35612/southgate-pv-solar-farm-50mw"/>
    <x v="223"/>
    <x v="9"/>
    <x v="66"/>
    <s v="Ontario"/>
    <m/>
    <m/>
    <m/>
    <x v="3"/>
    <s v="Photovoltaic Solar"/>
    <s v="Financial Close"/>
    <n v="25"/>
    <n v="2.8451818297500001E-2"/>
    <n v="1.1380727318999999"/>
    <m/>
    <n v="25"/>
    <m/>
  </r>
  <r>
    <x v="25"/>
    <x v="88"/>
    <s v="Other Public Financer"/>
    <n v="1860000"/>
    <m/>
    <m/>
    <m/>
    <x v="507"/>
    <s v="https://ijglobal.com/data/transaction/35612/southgate-pv-solar-farm-50mw"/>
    <x v="223"/>
    <x v="9"/>
    <x v="66"/>
    <s v="Ontario"/>
    <m/>
    <m/>
    <m/>
    <x v="3"/>
    <s v="Photovoltaic Solar"/>
    <s v="Financial Close"/>
    <n v="25"/>
    <n v="2.8451818297500001E-2"/>
    <n v="1.1380727318999999"/>
    <m/>
    <n v="25"/>
    <m/>
  </r>
  <r>
    <x v="25"/>
    <x v="88"/>
    <s v="Other Public Financer"/>
    <n v="18490000"/>
    <m/>
    <m/>
    <m/>
    <x v="508"/>
    <s v="https://ijglobal.com/data/transaction/36794/chitose-solar-pv-power-plant-388mw"/>
    <x v="224"/>
    <x v="10"/>
    <x v="88"/>
    <m/>
    <m/>
    <m/>
    <m/>
    <x v="3"/>
    <s v="Photovoltaic Solar"/>
    <s v="Financial Close"/>
    <n v="38.799999999999997"/>
    <n v="4.415722199772E-2"/>
    <n v="1.7662888799087999"/>
    <m/>
    <n v="38.799999999999997"/>
    <m/>
  </r>
  <r>
    <x v="25"/>
    <x v="88"/>
    <s v="Other Public Financer"/>
    <n v="49920000"/>
    <m/>
    <m/>
    <m/>
    <x v="509"/>
    <s v="https://ijglobal.com/data/transaction/36403/el-pelicano-solar-pv-power-plant-100mw"/>
    <x v="225"/>
    <x v="4"/>
    <x v="10"/>
    <m/>
    <m/>
    <m/>
    <m/>
    <x v="3"/>
    <s v="Photovoltaic Solar"/>
    <s v="Financial Close"/>
    <n v="100"/>
    <n v="0.11380727319"/>
    <n v="4.5522909275999996"/>
    <m/>
    <n v="100"/>
    <m/>
  </r>
  <r>
    <x v="25"/>
    <x v="88"/>
    <s v="Other Public Financer"/>
    <n v="28890000"/>
    <m/>
    <m/>
    <m/>
    <x v="338"/>
    <s v="https://ijglobal.com/data/transaction/34346/tees-chp-biomass-plant-299mw"/>
    <x v="143"/>
    <x v="3"/>
    <x v="52"/>
    <s v="England"/>
    <m/>
    <m/>
    <m/>
    <x v="3"/>
    <s v="Biomass"/>
    <s v="Financial Close"/>
    <n v="24.916666666666668"/>
    <n v="2.8356978903175001E-2"/>
    <n v="1.134279156127"/>
    <m/>
    <n v="24.916666666666668"/>
    <m/>
  </r>
  <r>
    <x v="25"/>
    <x v="88"/>
    <s v="Other Public Financer"/>
    <n v="2600000"/>
    <m/>
    <m/>
    <m/>
    <x v="338"/>
    <s v="https://ijglobal.com/data/transaction/34346/tees-chp-biomass-plant-299mw"/>
    <x v="143"/>
    <x v="3"/>
    <x v="52"/>
    <s v="England"/>
    <m/>
    <m/>
    <m/>
    <x v="3"/>
    <s v="Biomass"/>
    <s v="Financial Close"/>
    <n v="24.916666666666668"/>
    <n v="2.8356978903175001E-2"/>
    <n v="1.134279156127"/>
    <m/>
    <n v="24.916666666666668"/>
    <m/>
  </r>
  <r>
    <x v="25"/>
    <x v="88"/>
    <s v="Other Public Financer"/>
    <n v="8460000"/>
    <m/>
    <m/>
    <m/>
    <x v="338"/>
    <s v="https://ijglobal.com/data/transaction/34346/tees-chp-biomass-plant-299mw"/>
    <x v="143"/>
    <x v="3"/>
    <x v="52"/>
    <s v="England"/>
    <m/>
    <m/>
    <m/>
    <x v="3"/>
    <s v="Biomass"/>
    <s v="Financial Close"/>
    <n v="24.916666666666668"/>
    <n v="2.8356978903175001E-2"/>
    <n v="1.134279156127"/>
    <m/>
    <n v="24.916666666666668"/>
    <m/>
  </r>
  <r>
    <x v="25"/>
    <x v="88"/>
    <s v="Other Public Financer"/>
    <n v="3760000"/>
    <m/>
    <m/>
    <m/>
    <x v="338"/>
    <s v="https://ijglobal.com/data/transaction/34346/tees-chp-biomass-plant-299mw"/>
    <x v="143"/>
    <x v="3"/>
    <x v="52"/>
    <s v="England"/>
    <m/>
    <m/>
    <m/>
    <x v="3"/>
    <s v="Biomass"/>
    <s v="Financial Close"/>
    <n v="24.916666666666668"/>
    <n v="2.8356978903175001E-2"/>
    <n v="1.134279156127"/>
    <m/>
    <n v="24.916666666666668"/>
    <m/>
  </r>
  <r>
    <x v="25"/>
    <x v="88"/>
    <s v="Other Public Financer"/>
    <n v="13010000"/>
    <m/>
    <m/>
    <m/>
    <x v="338"/>
    <s v="https://ijglobal.com/data/transaction/34346/tees-chp-biomass-plant-299mw"/>
    <x v="143"/>
    <x v="3"/>
    <x v="52"/>
    <s v="England"/>
    <m/>
    <m/>
    <m/>
    <x v="3"/>
    <s v="Biomass"/>
    <s v="Financial Close"/>
    <n v="24.916666666666668"/>
    <n v="2.8356978903175001E-2"/>
    <n v="1.134279156127"/>
    <m/>
    <n v="24.916666666666668"/>
    <m/>
  </r>
  <r>
    <x v="25"/>
    <x v="88"/>
    <s v="Other Public Financer"/>
    <n v="15290000"/>
    <m/>
    <m/>
    <m/>
    <x v="338"/>
    <s v="https://ijglobal.com/data/transaction/34346/tees-chp-biomass-plant-299mw"/>
    <x v="143"/>
    <x v="3"/>
    <x v="52"/>
    <s v="England"/>
    <m/>
    <m/>
    <m/>
    <x v="3"/>
    <s v="Biomass"/>
    <s v="Financial Close"/>
    <n v="24.916666666666668"/>
    <n v="2.8356978903175001E-2"/>
    <n v="1.134279156127"/>
    <m/>
    <n v="24.916666666666668"/>
    <m/>
  </r>
  <r>
    <x v="25"/>
    <x v="88"/>
    <s v="Other Public Financer"/>
    <n v="39400000"/>
    <m/>
    <m/>
    <m/>
    <x v="276"/>
    <s v="https://ijglobal.com/data/transaction/31939/belle-river-wind-farm-100mw"/>
    <x v="110"/>
    <x v="9"/>
    <x v="66"/>
    <s v="Ontario"/>
    <m/>
    <m/>
    <m/>
    <x v="3"/>
    <s v="Onshore Wind"/>
    <s v="Financial Close"/>
    <n v="25"/>
    <n v="2.8451818297500001E-2"/>
    <n v="1.1380727318999999"/>
    <m/>
    <n v="25"/>
    <m/>
  </r>
  <r>
    <x v="25"/>
    <x v="88"/>
    <s v="Other Public Financer"/>
    <n v="1940000"/>
    <m/>
    <m/>
    <m/>
    <x v="276"/>
    <s v="https://ijglobal.com/data/transaction/31939/belle-river-wind-farm-100mw"/>
    <x v="110"/>
    <x v="9"/>
    <x v="66"/>
    <s v="Ontario"/>
    <m/>
    <m/>
    <m/>
    <x v="3"/>
    <s v="Onshore Wind"/>
    <s v="Financial Close"/>
    <n v="25"/>
    <n v="2.8451818297500001E-2"/>
    <n v="1.1380727318999999"/>
    <m/>
    <n v="25"/>
    <m/>
  </r>
  <r>
    <x v="25"/>
    <x v="91"/>
    <s v="Export Credit &amp; Insurance "/>
    <n v="64000000"/>
    <m/>
    <m/>
    <m/>
    <x v="510"/>
    <s v="https://ijglobal.com/data/transaction/20109/al-fujeij-wind-farm-891mw-ppp"/>
    <x v="226"/>
    <x v="7"/>
    <x v="56"/>
    <m/>
    <m/>
    <m/>
    <m/>
    <x v="3"/>
    <s v="Onshore Wind"/>
    <s v="Financial Close"/>
    <n v="89.1"/>
    <n v="0.10140228041229001"/>
    <n v="4.0560912164916001"/>
    <m/>
    <n v="89.1"/>
    <m/>
  </r>
  <r>
    <x v="25"/>
    <x v="88"/>
    <s v="Other Public Financer"/>
    <n v="37460000"/>
    <s v="Pattern Energy, Samsung, and Entegrus"/>
    <m/>
    <m/>
    <x v="278"/>
    <s v="https://ijglobal.com/data/transaction/38166/north-kent-wind-i-wind-farm-100mw"/>
    <x v="112"/>
    <x v="9"/>
    <x v="66"/>
    <s v="Ontario"/>
    <m/>
    <m/>
    <m/>
    <x v="3"/>
    <s v="Onshore Wind"/>
    <s v="Financial Close"/>
    <n v="11.111111111111111"/>
    <n v="1.2645252576666667E-2"/>
    <n v="0.50581010306666663"/>
    <m/>
    <n v="11.111111111111111"/>
    <m/>
  </r>
  <r>
    <x v="25"/>
    <x v="88"/>
    <s v="Other Public Financer"/>
    <n v="72000000"/>
    <m/>
    <m/>
    <m/>
    <x v="22"/>
    <s v="https://ijglobal.com/data/transaction/33723/mohammed-bin-rashid-al-maktoum-solar-pv-phase-iii-800mw-ppp"/>
    <x v="19"/>
    <x v="7"/>
    <x v="17"/>
    <s v="Seih Al-Dilal"/>
    <m/>
    <s v="https://ijglobal.com/articles/106791/debt-terms-revealed-as-masdar-edf-close-on-dubai-pv"/>
    <m/>
    <x v="3"/>
    <s v="Photovoltaic Solar"/>
    <s v="Financing"/>
    <n v="400"/>
    <n v="0.45522909276000001"/>
    <n v="18.209163710399999"/>
    <m/>
    <n v="400"/>
    <m/>
  </r>
  <r>
    <x v="25"/>
    <x v="88"/>
    <s v="Other Public Financer"/>
    <n v="86670000"/>
    <m/>
    <m/>
    <m/>
    <x v="280"/>
    <s v="https://ijglobal.com/data/transaction/35979/aela-energia-chilean-wind-portfolio-299mw"/>
    <x v="3"/>
    <x v="4"/>
    <x v="10"/>
    <m/>
    <m/>
    <m/>
    <m/>
    <x v="3"/>
    <s v="Onshore Wind"/>
    <s v="Financing"/>
    <n v="149.5"/>
    <n v="0.17014187341904999"/>
    <n v="6.8056749367619993"/>
    <m/>
    <n v="149.5"/>
    <m/>
  </r>
  <r>
    <x v="26"/>
    <x v="15"/>
    <s v="TBD"/>
    <m/>
    <m/>
    <m/>
    <m/>
    <x v="511"/>
    <m/>
    <x v="3"/>
    <x v="0"/>
    <x v="25"/>
    <m/>
    <s v="Industrial and Commercial Bank of China, Stand Charted Bank, Absa, Barclays Bank Zambia Ltd, Dev Bank of Southern Africa, Industrial Dev Corp of S.A., Africa Finance Corp."/>
    <m/>
    <m/>
    <x v="2"/>
    <s v="Coal Mining"/>
    <s v="Financing"/>
    <n v="0"/>
    <n v="0"/>
    <n v="0"/>
    <m/>
    <m/>
    <m/>
  </r>
  <r>
    <x v="26"/>
    <x v="15"/>
    <m/>
    <m/>
    <s v="Cambodian Energy Limited"/>
    <s v="Toshiba"/>
    <m/>
    <x v="512"/>
    <s v="http://www.sourcewatch.org/index.php/Sihanoukville_CEL_power_station"/>
    <x v="3"/>
    <x v="6"/>
    <x v="30"/>
    <s v="Preah Sihanouk"/>
    <m/>
    <s v="http://www.khmertimeskh.com/news/35908/toshiba-to-build-power-plant/"/>
    <s v="https://ijglobal.com/data/transaction/37695?name=Preah%20Sihanouk%20Coal-Fired%20Power%20Plant%20(135MW)&amp;link=%2Farticles%2F105014%2Fcambodia-approves-new-power-and-transmission-projects"/>
    <x v="0"/>
    <s v="Expansion"/>
    <s v="Financing"/>
    <n v="150"/>
    <n v="0.170710909785"/>
    <n v="6.8284363914000004"/>
    <m/>
    <m/>
    <m/>
  </r>
  <r>
    <x v="26"/>
    <x v="15"/>
    <m/>
    <m/>
    <m/>
    <m/>
    <m/>
    <x v="513"/>
    <m/>
    <x v="3"/>
    <x v="6"/>
    <x v="20"/>
    <m/>
    <m/>
    <m/>
    <m/>
    <x v="0"/>
    <s v="Coal Power Plant - New"/>
    <s v="Financing"/>
    <m/>
    <n v="0"/>
    <n v="0"/>
    <m/>
    <m/>
    <m/>
  </r>
  <r>
    <x v="26"/>
    <x v="15"/>
    <m/>
    <m/>
    <m/>
    <m/>
    <m/>
    <x v="514"/>
    <m/>
    <x v="3"/>
    <x v="6"/>
    <x v="20"/>
    <m/>
    <m/>
    <m/>
    <m/>
    <x v="0"/>
    <s v="Coal Power Plant - New"/>
    <s v="Financing"/>
    <m/>
    <n v="0"/>
    <n v="0"/>
    <m/>
    <m/>
    <m/>
  </r>
  <r>
    <x v="26"/>
    <x v="15"/>
    <m/>
    <m/>
    <m/>
    <m/>
    <m/>
    <x v="515"/>
    <s v="http://www.bankinformationcenter.org/wp-content/uploads/2017/01/MOZAMBIQUE-DPF-FORMATTED-1.11.17-1.pdf"/>
    <x v="3"/>
    <x v="0"/>
    <x v="40"/>
    <m/>
    <m/>
    <m/>
    <m/>
    <x v="0"/>
    <m/>
    <s v="Financing"/>
    <m/>
    <n v="0"/>
    <n v="0"/>
    <m/>
    <m/>
    <m/>
  </r>
  <r>
    <x v="26"/>
    <x v="15"/>
    <m/>
    <m/>
    <s v="United Arab Emirates’ Al Nowais Company"/>
    <m/>
    <m/>
    <x v="504"/>
    <s v="https://ijglobal.com/data/transaction/36716/ayoun-moussa-coal-fired-power-plant-2460mw"/>
    <x v="45"/>
    <x v="7"/>
    <x v="32"/>
    <s v="Suez"/>
    <m/>
    <s v="http://www.sourcewatch.org/index.php/Ayoun_Moussa_power_station"/>
    <s v="http://www.dailynewsegypt.com/2017/01/30/613491/"/>
    <x v="0"/>
    <s v="Coal Power Plant - New"/>
    <s v="Delayed"/>
    <n v="1230"/>
    <n v="1.3998294602370001"/>
    <n v="55.993178409480002"/>
    <m/>
    <m/>
    <m/>
  </r>
  <r>
    <x v="27"/>
    <x v="92"/>
    <s v="Other Public Financer"/>
    <n v="68390000"/>
    <s v=" _x000a_Can Komur (subsidiary of Odas Elektrik)"/>
    <m/>
    <m/>
    <x v="516"/>
    <m/>
    <x v="227"/>
    <x v="3"/>
    <x v="46"/>
    <m/>
    <m/>
    <s v="https://ijglobal.com/data/transaction/35062/canakkale-thermal-power-plant-330mw http://globalenergyobservatory.org/form.php?pid=43065"/>
    <m/>
    <x v="0"/>
    <s v="Coal power plant - new "/>
    <s v="Financial Close"/>
    <n v="330"/>
    <n v="0.37556400152700004"/>
    <n v="15.022560061080002"/>
    <m/>
    <m/>
    <m/>
  </r>
  <r>
    <x v="27"/>
    <x v="0"/>
    <s v="Multilateral"/>
    <n v="676371.4804666905"/>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27"/>
    <x v="3"/>
    <s v="Multilateral"/>
    <n v="2326391.7909341156"/>
    <s v="EPS"/>
    <m/>
    <m/>
    <x v="7"/>
    <s v="http://www.ebrd.com/work-with-us/projects/psd/eps-restructuring.html"/>
    <x v="5"/>
    <x v="3"/>
    <x v="5"/>
    <m/>
    <s v="Financing for restructing of Serbian state-owned utility EPS, which is lignite-heavy and maintains plans for significant lignite expansion. _x000a__x000a_While not exclusively for coal, this investment is included because of EPS lignite expansion plans and lack of prior EBRD investments in EPS resulting in observable changes in supply mix or capacity addition plans."/>
    <s v="http://www.ebrd.com/news/2015/ebrd-supports-reform-of-serbias-power-sector-with-200-million-loan-to-eps.html_x000a_http://bankwatch.org/publications/issues-serbian-electricity-company-eps-need-be-addressed-within - New-ebrd-loan_x000a_http://bankwatch.org/bwmail/62/ebrd-digs-deeper-serbian-coal-king"/>
    <m/>
    <x v="1"/>
    <s v="Other"/>
    <s v="Financial Close"/>
    <m/>
    <n v="0"/>
    <n v="0"/>
    <m/>
    <m/>
    <m/>
  </r>
  <r>
    <x v="27"/>
    <x v="0"/>
    <s v="Multilateral"/>
    <n v="3804589.577625134"/>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28"/>
    <x v="93"/>
    <s v="Other Public Financer"/>
    <n v="100000000"/>
    <s v="Siberian Coal Energy Company"/>
    <m/>
    <m/>
    <x v="517"/>
    <s v="https://ijglobal.com/data/transaction/28486/suek-corporate-facility-refinancing"/>
    <x v="228"/>
    <x v="8"/>
    <x v="18"/>
    <m/>
    <s v="The facility will be used for refinancing of existing debt and gereal corporate purposes. SUEK Siberian Coal Energy Company is the leading Russian coal company, the largest producer and supplier of coal in the nation, and one of the major global players in its sector."/>
    <m/>
    <m/>
    <x v="2"/>
    <s v="Coal Mining - Existing"/>
    <s v="Financial Close"/>
    <m/>
    <n v="0"/>
    <n v="0"/>
    <m/>
    <m/>
    <m/>
  </r>
  <r>
    <x v="28"/>
    <x v="93"/>
    <s v="Other Public Financer"/>
    <n v="207380000"/>
    <s v="BHP Billiton"/>
    <m/>
    <m/>
    <x v="518"/>
    <s v="https://ijglobal.com/data/transaction/33041/bhp-billiton-refinancing-2014"/>
    <x v="156"/>
    <x v="2"/>
    <x v="3"/>
    <m/>
    <s v="The proceeds will be used to refinance the existing facilities of BHP Billiton, a mining company in Australia. The refinancing resulted in the cancellation of existing $5bn and $1bn multicurrency credit facilities. The financing includes a revolving facility of $6000m arranged by a consortium of 29 banks. The facility has a tenure of 5 years and has two one-year extension options. It will used for general corporate purposes."/>
    <m/>
    <m/>
    <x v="2"/>
    <s v="Coal Mining - Existing"/>
    <s v="Financial Close"/>
    <m/>
    <n v="0"/>
    <n v="0"/>
    <m/>
    <m/>
    <m/>
  </r>
  <r>
    <x v="28"/>
    <x v="93"/>
    <s v="Other Public Financer"/>
    <n v="24390000"/>
    <s v="Ratch Australia Corporation Limited"/>
    <m/>
    <m/>
    <x v="519"/>
    <m/>
    <x v="22"/>
    <x v="2"/>
    <x v="3"/>
    <m/>
    <s v="Refinancing facility for a portfolio of power assets in Australia. RATCH-Australia is owned by a major Thai power generation company, Ratchaburi Electricity Generating Holding PCL and Transfield Services Limited, an ASX listed engineering services company. RATCH-Australia is an independent power producer in Australia and owns a portfolio of power generation assets totalling 815 MW. These consist of ownership or an interest in four power stations and three wind farms. All of the assets are owned on a long term basis."/>
    <m/>
    <m/>
    <x v="0"/>
    <s v="Coal Power Plant - Existing"/>
    <s v="Financial Close"/>
    <m/>
    <n v="0"/>
    <n v="0"/>
    <m/>
    <m/>
    <m/>
  </r>
  <r>
    <x v="28"/>
    <x v="0"/>
    <s v="Multilateral"/>
    <n v="3500054.9468867341"/>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28"/>
    <x v="3"/>
    <s v="Multilateral"/>
    <n v="18425663.35256977"/>
    <s v="EPS"/>
    <m/>
    <m/>
    <x v="7"/>
    <s v="http://www.ebrd.com/work-with-us/projects/psd/eps-restructuring.html"/>
    <x v="5"/>
    <x v="3"/>
    <x v="5"/>
    <m/>
    <s v="Financing for restructing of Serbian state-owned utility EPS, which is lignite-heavy and maintains plans for significant lignite expansion. _x000a__x000a_While not exclusively for coal, this investment is included because of EPS lignite expansion plans and lack of prior EBRD investments in EPS resulting in observable changes in supply mix or capacity addition plans."/>
    <s v="http://www.ebrd.com/news/2015/ebrd-supports-reform-of-serbias-power-sector-with-200-million-loan-to-eps.html_x000a_http://bankwatch.org/publications/issues-serbian-electricity-company-eps-need-be-addressed-within - New-ebrd-loan_x000a_http://bankwatch.org/bwmail/62/ebrd-digs-deeper-serbian-coal-king"/>
    <m/>
    <x v="1"/>
    <s v="Other"/>
    <s v="Financial Close"/>
    <m/>
    <n v="0"/>
    <n v="0"/>
    <m/>
    <m/>
    <m/>
  </r>
  <r>
    <x v="28"/>
    <x v="0"/>
    <s v="Multilateral"/>
    <n v="19687809.07623788"/>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29"/>
    <x v="94"/>
    <s v="Export Credit &amp; Insurance"/>
    <n v="18716807"/>
    <s v="Zao Sberbank Leasing"/>
    <m/>
    <m/>
    <x v="293"/>
    <s v="http://www.exim.gov/newsandevents/boardmeetings/board/boardmeeting-agenda.cfm?pageID=37064"/>
    <x v="229"/>
    <x v="8"/>
    <x v="18"/>
    <m/>
    <m/>
    <s v="http://www.mechel.com/sector/mining/yakutugol/"/>
    <m/>
    <x v="2"/>
    <s v="Coal Mining"/>
    <s v="Financial Close"/>
    <m/>
    <n v="0"/>
    <n v="0"/>
    <m/>
    <m/>
    <m/>
  </r>
  <r>
    <x v="29"/>
    <x v="0"/>
    <s v="Multilateral"/>
    <n v="13072636.079977972"/>
    <s v="Nigerian Bulk Electricity Trading"/>
    <m/>
    <m/>
    <x v="0"/>
    <m/>
    <x v="0"/>
    <x v="0"/>
    <x v="0"/>
    <m/>
    <s v="Partial risk guarantee for coal-fired power project investment in Nigeria. Official project information not available on AfDB website, but transaction was widely reported in Nigerian press:_x000a_"/>
    <s v="http://www.post-nigeria.com/afdb-pumps-200m-into-nigerias-coal-to-power-production/_x000a_http://www.esi-africa.com/news/coal-to-power-afdb-commits-200m-to-nigerias-dirty-fuel/_x000a_http://guardian.ng/news/afdb-pledges-200m-support-for-coal-to-power-projects/?ak_action=reject_mobile"/>
    <m/>
    <x v="0"/>
    <s v="Coal Power Plant - New"/>
    <s v="Financial Close"/>
    <m/>
    <n v="0"/>
    <n v="0"/>
    <m/>
    <m/>
    <m/>
  </r>
  <r>
    <x v="29"/>
    <x v="94"/>
    <s v="Export Credit &amp; Insurance"/>
    <n v="0"/>
    <s v="Orion Power Khulna"/>
    <m/>
    <s v="ALSTOM"/>
    <x v="520"/>
    <s v="http://www.foe.org/news/news-releases/2016-06-over-150000-call-on-us-export-import-bank-to-reject-coal"/>
    <x v="3"/>
    <x v="5"/>
    <x v="27"/>
    <s v="Khulna"/>
    <s v="no reports that financial closure has been achieved_x000a_EXIM RESPONSE: EXIM does not have a pending application for this project."/>
    <s v="http://www.sourcewatch.org/index.php/Khulna_power_station_(Orion)"/>
    <s v="http://www.sourcewatch.org/index.php/Khulna_power_station_(Orion)"/>
    <x v="0"/>
    <s v="Coal Power Plant - New"/>
    <s v="Deferred"/>
    <n v="660"/>
    <n v="0.75112800305400007"/>
    <n v="30.045120122160004"/>
    <m/>
    <m/>
    <m/>
  </r>
  <r>
    <x v="29"/>
    <x v="94"/>
    <s v="Export Credit &amp; Insurance"/>
    <m/>
    <s v="PetroVietnam"/>
    <m/>
    <m/>
    <x v="521"/>
    <s v="https://ijglobal.com/data/project/35718/long-phu-1-thermal-power-plant-1200mw"/>
    <x v="3"/>
    <x v="6"/>
    <x v="24"/>
    <s v=" Soc Trang"/>
    <s v=" AP089111XX; full value 1,595,000,000"/>
    <s v="http://www.exim.gov/policies/ex-im-bank-and-the-environment/pending-transactions"/>
    <s v="http://nangluongvietnam.vn_x000a_http://pvc.vn/en-us/news/newsdetails/tabid/211/id/2199/EPC-Contract-Signed-for-Long-Phu-1-Thermal-Power-Plant-Construction.aspx"/>
    <x v="0"/>
    <s v="Coal Power Plant - New"/>
    <s v="Financing"/>
    <n v="1200"/>
    <n v="1.36568727828"/>
    <n v="54.627491131200003"/>
    <m/>
    <m/>
    <m/>
  </r>
  <r>
    <x v="29"/>
    <x v="94"/>
    <s v="Export Credit &amp; Insurance"/>
    <m/>
    <s v="Oyu Tolgoi LLC"/>
    <m/>
    <m/>
    <x v="522"/>
    <s v="http://www.exim.gov/newsandevents/releases/2013/ExIm-Approves-500-million-to-Finance-US-Exports-for-Use-in-Mongolian-Mine.cfm"/>
    <x v="134"/>
    <x v="8"/>
    <x v="38"/>
    <m/>
    <s v="EXIM RESPONSE: The Oyu Tolgoi mine project no longer has an associated power plant, coal or otherwise.  The mine will obtain power from another source.  EXIM’s only involvement remains with the development of the copper/gold mine itself."/>
    <s v="http://www.exim.gov/about/library/reports/annualreports/2013/FY2013-long-term-guarantees-auth.pdf_x000a_http://action.sierraclub.org/site/DocServer/Tolgoi_assessment_Final.pdf?docID=11801"/>
    <m/>
    <x v="1"/>
    <s v="Coal - Policy"/>
    <s v="Financial Close"/>
    <m/>
    <n v="0"/>
    <n v="0"/>
    <m/>
    <m/>
    <m/>
  </r>
  <r>
    <x v="29"/>
    <x v="3"/>
    <s v="Multilateral"/>
    <n v="20230677.770977631"/>
    <s v="EPS"/>
    <m/>
    <m/>
    <x v="7"/>
    <s v="http://www.ebrd.com/work-with-us/projects/psd/eps-restructuring.html"/>
    <x v="5"/>
    <x v="3"/>
    <x v="5"/>
    <m/>
    <s v="Financing for restructing of Serbian state-owned utility EPS, which is lignite-heavy and maintains plans for significant lignite expansion. _x000a__x000a_While not exclusively for coal, this investment is included because of EPS lignite expansion plans and lack of prior EBRD investments in EPS resulting in observable changes in supply mix or capacity addition plans."/>
    <s v="http://www.ebrd.com/news/2015/ebrd-supports-reform-of-serbias-power-sector-with-200-million-loan-to-eps.html_x000a_http://bankwatch.org/publications/issues-serbian-electricity-company-eps-need-be-addressed-within - New-ebrd-loan_x000a_http://bankwatch.org/bwmail/62/ebrd-digs-deeper-serbian-coal-king"/>
    <m/>
    <x v="1"/>
    <s v="Other"/>
    <s v="Financial Close"/>
    <m/>
    <n v="0"/>
    <n v="0"/>
    <m/>
    <m/>
    <m/>
  </r>
  <r>
    <x v="29"/>
    <x v="0"/>
    <s v="Multilateral"/>
    <n v="73533577.9498761"/>
    <s v="Eskom"/>
    <m/>
    <m/>
    <x v="1"/>
    <s v="http://www.afdb.org/en/news-and-events/article/afdb-supports-eskom-to-construct-and-maintain-transmission-lines-and-power-stations-in-south-africa-15264/"/>
    <x v="1"/>
    <x v="0"/>
    <x v="1"/>
    <m/>
    <s v="The Board of Directors of the African Development Bank (AfDB), through its private sector window, approved a senior corporate loan equivalent to USD 375 million in ZAR-equivalent and a corresponding A/B syndicated loan for up to USD 750 million to support the Capacity Expansion Program (CEP) of Eskom Holdings SOC Ltd of South Africa. Eskom is South Africa’s state-owned power utility and the country’s primary electricity supplier with over 90 years of operational experience._x000a__x000a_Financing for Eskom Capacity Expansion Program (not for an individual project), which includes multiple GW scale-up of coal-fired power and associated transmission infrastructure_x000a__x000a__x000a_US voted &quot;no&quot; to these loans, partly because of concerns around potential to contribute to coal-fired power expansion:_x000a_"/>
    <s v="http://www.afdb.org/en/news-and-events/article/afdb-supports-eskom-to-construct-and-maintain-transmission-lines-and-power-stations-in-south-africa-15264/_x000a_https://www.treasury.gov/resource-center/international/development-banks/Documents/U.S.%20Position%20on%20the%20AfDB%20ESKOM%20Loan%20to%20South%20Africa%20FINAL.pdf"/>
    <m/>
    <x v="1"/>
    <s v="Other"/>
    <s v="Financial Close"/>
    <m/>
    <n v="0"/>
    <n v="0"/>
    <m/>
    <m/>
    <m/>
  </r>
  <r>
    <x v="29"/>
    <x v="95"/>
    <s v="Export Credit &amp; Insurance "/>
    <n v="72700000"/>
    <m/>
    <m/>
    <m/>
    <x v="364"/>
    <s v="https://ijglobal.com/data/transaction/25629/palmatir-wind-financing-50mw"/>
    <x v="162"/>
    <x v="4"/>
    <x v="16"/>
    <m/>
    <m/>
    <m/>
    <m/>
    <x v="3"/>
    <s v="Onshore Wind"/>
    <s v="Financial Close"/>
    <n v="25"/>
    <n v="2.8451818297500001E-2"/>
    <n v="1.1380727318999999"/>
    <m/>
    <n v="25"/>
    <m/>
  </r>
  <r>
    <x v="29"/>
    <x v="96"/>
    <s v="Other Public Financer"/>
    <n v="95000000"/>
    <s v="Sapphire Group and Alfalah Bank"/>
    <m/>
    <m/>
    <x v="523"/>
    <s v="https://ijglobal.com/data/transaction/28954/sapphire-wind-farm-495mw"/>
    <x v="230"/>
    <x v="5"/>
    <x v="19"/>
    <m/>
    <m/>
    <m/>
    <m/>
    <x v="3"/>
    <s v="Onshore Wind"/>
    <s v="Financial Close"/>
    <n v="49.5"/>
    <n v="5.6334600229050007E-2"/>
    <n v="2.2533840091620001"/>
    <m/>
    <n v="49.5"/>
    <m/>
  </r>
  <r>
    <x v="29"/>
    <x v="96"/>
    <s v="Other Public Financer"/>
    <n v="147500000"/>
    <m/>
    <m/>
    <m/>
    <x v="370"/>
    <s v="https://ijglobal.com/data/transaction/27878/amanecer-solar-cap-plant-financing-100mw"/>
    <x v="25"/>
    <x v="4"/>
    <x v="10"/>
    <m/>
    <m/>
    <m/>
    <m/>
    <x v="3"/>
    <s v="Photovoltaic Solar"/>
    <s v="Financial Close"/>
    <n v="50"/>
    <n v="5.6903636595000001E-2"/>
    <n v="2.2761454637999998"/>
    <m/>
    <n v="50"/>
    <m/>
  </r>
  <r>
    <x v="29"/>
    <x v="95"/>
    <s v="Export Credit &amp; Insurance "/>
    <n v="14800000"/>
    <m/>
    <m/>
    <m/>
    <x v="462"/>
    <s v="https://ijglobal.com/data/transaction/26094/cerro-de-hula-wind-farm-expansion-financing-24mw"/>
    <x v="199"/>
    <x v="4"/>
    <x v="7"/>
    <m/>
    <m/>
    <m/>
    <m/>
    <x v="3"/>
    <s v="Onshore Wind"/>
    <s v="Financial Close"/>
    <n v="24"/>
    <n v="2.7313745565599998E-2"/>
    <n v="1.092549822624"/>
    <m/>
    <n v="24"/>
    <m/>
  </r>
  <r>
    <x v="29"/>
    <x v="97"/>
    <s v="Other Public Financer"/>
    <n v="480000"/>
    <s v="Zorlu Jeotermal Enerji Elektrik Ãœretim A.S."/>
    <m/>
    <m/>
    <x v="332"/>
    <s v="https://ijglobal.com/data/transaction/28387/alasehir-geothermal-plant-in-manisa-30mw"/>
    <x v="137"/>
    <x v="3"/>
    <x v="46"/>
    <m/>
    <m/>
    <m/>
    <m/>
    <x v="3"/>
    <s v="Geothermal"/>
    <s v="Financial Close"/>
    <n v="7.5"/>
    <n v="8.5355454892500019E-3"/>
    <n v="0.34142181957000006"/>
    <m/>
    <n v="7.5"/>
    <m/>
  </r>
  <r>
    <x v="29"/>
    <x v="95"/>
    <s v="Export Credit &amp; Insurance "/>
    <n v="61100000"/>
    <m/>
    <m/>
    <m/>
    <x v="468"/>
    <s v="https://ijglobal.com/data/transaction/26095/orosi-wind-project-financing-50mw"/>
    <x v="204"/>
    <x v="4"/>
    <x v="58"/>
    <m/>
    <m/>
    <m/>
    <m/>
    <x v="3"/>
    <s v="Onshore Wind"/>
    <s v="Financial Close"/>
    <n v="50"/>
    <n v="5.6903636595000001E-2"/>
    <n v="2.2761454637999998"/>
    <m/>
    <n v="50"/>
    <m/>
  </r>
  <r>
    <x v="29"/>
    <x v="96"/>
    <s v="Other Public Financer"/>
    <n v="150000000"/>
    <m/>
    <m/>
    <m/>
    <x v="524"/>
    <s v="https://ijglobal.com/data/transaction/33087/ast-telecom-solar-corporate-facility-2014"/>
    <x v="231"/>
    <x v="5"/>
    <x v="50"/>
    <s v="Delhi"/>
    <m/>
    <m/>
    <m/>
    <x v="3"/>
    <s v="Photovoltaic Solar"/>
    <s v="Financial Close"/>
    <m/>
    <n v="0"/>
    <n v="0"/>
    <m/>
    <m/>
    <m/>
  </r>
  <r>
    <x v="29"/>
    <x v="96"/>
    <s v="Other Public Financer"/>
    <n v="400000"/>
    <m/>
    <m/>
    <m/>
    <x v="463"/>
    <s v="https://ijglobal.com/data/transaction/28551/agahozo-shalom-youth-pv-solar-plant-85mw"/>
    <x v="200"/>
    <x v="0"/>
    <x v="85"/>
    <m/>
    <m/>
    <m/>
    <m/>
    <x v="3"/>
    <s v="Photovoltaic Solar"/>
    <s v="Financial Close"/>
    <n v="8.5"/>
    <n v="9.6736182211499995E-3"/>
    <n v="0.38694472884599995"/>
    <m/>
    <n v="8.5"/>
    <m/>
  </r>
  <r>
    <x v="29"/>
    <x v="96"/>
    <s v="Other Public Financer"/>
    <n v="62900000"/>
    <m/>
    <m/>
    <m/>
    <x v="376"/>
    <s v="https://ijglobal.com/data/transaction/28101/san-andres-solar-pv-plant-507mw"/>
    <x v="172"/>
    <x v="4"/>
    <x v="10"/>
    <m/>
    <m/>
    <m/>
    <m/>
    <x v="3"/>
    <s v="Photovoltaic Solar"/>
    <s v="Financial Close"/>
    <n v="25.35"/>
    <n v="2.8850143753665007E-2"/>
    <n v="1.1540057501466003"/>
    <m/>
    <n v="25.35"/>
    <m/>
  </r>
  <r>
    <x v="29"/>
    <x v="96"/>
    <s v="Other Public Financer"/>
    <n v="230000000"/>
    <m/>
    <m/>
    <m/>
    <x v="384"/>
    <s v="https://ijglobal.com/data/transaction/30476/luz-del-norte-solar-pv-plant-141mw"/>
    <x v="179"/>
    <x v="4"/>
    <x v="10"/>
    <m/>
    <m/>
    <m/>
    <m/>
    <x v="3"/>
    <s v="Photovoltaic Solar"/>
    <s v="Financial Close"/>
    <n v="70.5"/>
    <n v="8.0234127598950003E-2"/>
    <n v="3.209365103958"/>
    <m/>
    <n v="70.5"/>
    <m/>
  </r>
  <r>
    <x v="29"/>
    <x v="95"/>
    <s v="Export Credit &amp; Insurance "/>
    <n v="64500000"/>
    <m/>
    <m/>
    <m/>
    <x v="525"/>
    <s v="https://ijglobal.com/data/transaction/28368/talas-de-maciel-i-wind-farm-50mw"/>
    <x v="232"/>
    <x v="4"/>
    <x v="16"/>
    <m/>
    <m/>
    <m/>
    <m/>
    <x v="3"/>
    <s v="Onshore Wind"/>
    <s v="Financial Close"/>
    <n v="50"/>
    <n v="5.6903636595000001E-2"/>
    <n v="2.2761454637999998"/>
    <m/>
    <n v="50"/>
    <m/>
  </r>
  <r>
    <x v="29"/>
    <x v="96"/>
    <s v="Other Public Financer"/>
    <n v="25000000"/>
    <m/>
    <m/>
    <m/>
    <x v="389"/>
    <s v="https://ijglobal.com/data/transaction/31894/sunedison-jordan-solar-pv-plant-238mw"/>
    <x v="181"/>
    <x v="7"/>
    <x v="56"/>
    <m/>
    <m/>
    <m/>
    <m/>
    <x v="3"/>
    <s v="Photovoltaic Solar"/>
    <s v="Financial Close"/>
    <n v="11.9"/>
    <n v="1.3543065509610002E-2"/>
    <n v="0.54172262038440011"/>
    <m/>
    <n v="11.9"/>
    <m/>
  </r>
  <r>
    <x v="29"/>
    <x v="96"/>
    <s v="Other Public Financer"/>
    <n v="42700000"/>
    <m/>
    <m/>
    <m/>
    <x v="391"/>
    <s v="https://ijglobal.com/data/transaction/30851/malvern-wind-farm-363mw"/>
    <x v="125"/>
    <x v="9"/>
    <x v="79"/>
    <m/>
    <m/>
    <m/>
    <m/>
    <x v="3"/>
    <s v="Onshore Wind"/>
    <s v="Financial Close"/>
    <n v="18.149999999999999"/>
    <n v="2.0656020083985E-2"/>
    <n v="0.82624080335939998"/>
    <m/>
    <n v="18.149999999999999"/>
    <m/>
  </r>
  <r>
    <x v="29"/>
    <x v="95"/>
    <s v="Export Credit &amp; Insurance "/>
    <n v="12000000"/>
    <m/>
    <m/>
    <m/>
    <x v="189"/>
    <s v="https://ijglobal.com/data/transaction/32026/marcona-wind-farm-321mw"/>
    <x v="69"/>
    <x v="4"/>
    <x v="57"/>
    <m/>
    <m/>
    <m/>
    <m/>
    <x v="3"/>
    <s v="Onshore Wind"/>
    <s v="Financial Close"/>
    <n v="16.05"/>
    <n v="1.8266067346995003E-2"/>
    <n v="0.73064269387980008"/>
    <m/>
    <n v="16.05"/>
    <m/>
  </r>
  <r>
    <x v="29"/>
    <x v="95"/>
    <s v="Export Credit &amp; Insurance "/>
    <n v="52000000"/>
    <m/>
    <m/>
    <m/>
    <x v="190"/>
    <s v="https://ijglobal.com/data/transaction/26112/tres-hermanas-wind-farm-9715mw"/>
    <x v="69"/>
    <x v="4"/>
    <x v="57"/>
    <m/>
    <m/>
    <m/>
    <m/>
    <x v="3"/>
    <s v="Onshore Wind"/>
    <s v="Financial Close"/>
    <n v="48.575000000000003"/>
    <n v="5.5281882952042498E-2"/>
    <n v="2.2112753180816997"/>
    <m/>
    <n v="48.575000000000003"/>
    <m/>
  </r>
  <r>
    <x v="29"/>
    <x v="96"/>
    <s v="Other Public Financer"/>
    <n v="44000000"/>
    <s v="Tenaga Generasi Limited"/>
    <m/>
    <m/>
    <x v="393"/>
    <s v="https://ijglobal.com/data/transaction/33648/khuti-kun-wind-farm-495mw"/>
    <x v="183"/>
    <x v="5"/>
    <x v="19"/>
    <m/>
    <m/>
    <m/>
    <m/>
    <x v="3"/>
    <s v="Onshore Wind"/>
    <s v="Financial Close"/>
    <n v="24.75"/>
    <n v="2.8167300114525003E-2"/>
    <n v="1.1266920045810001"/>
    <m/>
    <n v="24.75"/>
    <m/>
  </r>
  <r>
    <x v="29"/>
    <x v="96"/>
    <s v="Other Public Financer"/>
    <n v="80900000"/>
    <m/>
    <m/>
    <m/>
    <x v="464"/>
    <s v="https://ijglobal.com/data/transaction/30480/tres-mesas-wind-farm-1485mw"/>
    <x v="201"/>
    <x v="4"/>
    <x v="76"/>
    <m/>
    <m/>
    <m/>
    <m/>
    <x v="3"/>
    <s v="Onshore Wind"/>
    <s v="Financial Close"/>
    <n v="148.5"/>
    <n v="0.16900380068715001"/>
    <n v="6.7601520274860007"/>
    <m/>
    <n v="148.5"/>
    <m/>
  </r>
  <r>
    <x v="29"/>
    <x v="96"/>
    <s v="Other Public Financer"/>
    <n v="250000000"/>
    <m/>
    <m/>
    <m/>
    <x v="399"/>
    <s v="https://ijglobal.com/data/transaction/19226/negev-solar-thermal-plant-121mw"/>
    <x v="188"/>
    <x v="7"/>
    <x v="60"/>
    <m/>
    <m/>
    <m/>
    <m/>
    <x v="3"/>
    <s v="Thermal Solar"/>
    <s v="Financial Close"/>
    <n v="60.5"/>
    <n v="6.8853400279950003E-2"/>
    <n v="2.7541360111980002"/>
    <m/>
    <n v="60.5"/>
    <m/>
  </r>
  <r>
    <x v="29"/>
    <x v="96"/>
    <s v="Other Public Financer"/>
    <n v="15500000"/>
    <m/>
    <m/>
    <m/>
    <x v="465"/>
    <s v="https://ijglobal.com/data/transaction/33583/los-santos-i-solar-pv-plant-14mw"/>
    <x v="202"/>
    <x v="4"/>
    <x v="76"/>
    <m/>
    <m/>
    <m/>
    <m/>
    <x v="3"/>
    <s v="Photovoltaic Solar"/>
    <s v="Financial Close"/>
    <n v="14"/>
    <n v="1.5933018246600001E-2"/>
    <n v="0.63732072986400001"/>
    <m/>
    <n v="14"/>
    <m/>
  </r>
  <r>
    <x v="29"/>
    <x v="96"/>
    <s v="Other Public Financer"/>
    <n v="21800000"/>
    <m/>
    <m/>
    <m/>
    <x v="526"/>
    <s v="https://ijglobal.com/data/transaction/36705/paris-98mw-and-los-angeles-98mw-solar-pv-plants"/>
    <x v="233"/>
    <x v="4"/>
    <x v="6"/>
    <m/>
    <m/>
    <m/>
    <m/>
    <x v="3"/>
    <s v="Photovoltaic Solar"/>
    <s v="Financial Close"/>
    <n v="19.600000000000001"/>
    <n v="2.2306225545240001E-2"/>
    <n v="0.89224902180960008"/>
    <m/>
    <n v="19.600000000000001"/>
    <m/>
  </r>
  <r>
    <x v="29"/>
    <x v="96"/>
    <s v="Other Public Financer"/>
    <n v="15000000"/>
    <m/>
    <m/>
    <m/>
    <x v="527"/>
    <s v="https://ijglobal.com/data/transaction/36300/solar-panama-101mw-and-solar-azuero-112mw-power-plants"/>
    <x v="234"/>
    <x v="4"/>
    <x v="6"/>
    <m/>
    <m/>
    <m/>
    <m/>
    <x v="3"/>
    <s v="Photovoltaic Solar"/>
    <s v="Financial Close"/>
    <n v="10.649999999999999"/>
    <n v="1.2120474594734996E-2"/>
    <n v="0.48481898378939986"/>
    <m/>
    <n v="10.649999999999999"/>
    <m/>
  </r>
  <r>
    <x v="29"/>
    <x v="96"/>
    <s v="Other Public Financer"/>
    <n v="14000000"/>
    <m/>
    <m/>
    <m/>
    <x v="527"/>
    <s v="https://ijglobal.com/data/transaction/36300/solar-panama-101mw-and-solar-azuero-112mw-power-plants"/>
    <x v="234"/>
    <x v="4"/>
    <x v="6"/>
    <m/>
    <m/>
    <m/>
    <m/>
    <x v="3"/>
    <s v="Photovoltaic Solar"/>
    <s v="Financial Close"/>
    <n v="10.649999999999999"/>
    <n v="1.2120474594734996E-2"/>
    <n v="0.48481898378939986"/>
    <m/>
    <n v="10.649999999999999"/>
    <m/>
  </r>
  <r>
    <x v="29"/>
    <x v="96"/>
    <s v="Other Public Financer"/>
    <n v="97700000"/>
    <m/>
    <m/>
    <m/>
    <x v="528"/>
    <s v="https://ijglobal.com/data/transaction/37346/hawa-wind-farm-50mw-ppp"/>
    <x v="235"/>
    <x v="5"/>
    <x v="19"/>
    <m/>
    <m/>
    <m/>
    <m/>
    <x v="3"/>
    <s v="Onshore Wind"/>
    <s v="Financial Close"/>
    <n v="50"/>
    <n v="5.6903636595000001E-2"/>
    <n v="2.2761454637999998"/>
    <m/>
    <n v="50"/>
    <m/>
  </r>
  <r>
    <x v="29"/>
    <x v="96"/>
    <s v="Other Public Financer"/>
    <n v="120000000"/>
    <s v="PT UPC Sidrap Bayu Energi"/>
    <m/>
    <m/>
    <x v="529"/>
    <s v="https://ijglobal.com/data/transaction/35941/sidrap-wind-farm-75mw"/>
    <x v="236"/>
    <x v="6"/>
    <x v="20"/>
    <m/>
    <m/>
    <m/>
    <m/>
    <x v="3"/>
    <s v="Onshore Wind"/>
    <s v="Financial Close"/>
    <n v="75"/>
    <n v="8.5355454892500002E-2"/>
    <n v="3.4142181957000002"/>
    <m/>
    <n v="75"/>
    <m/>
  </r>
  <r>
    <x v="29"/>
    <x v="96"/>
    <s v="Export Credit &amp; Insurance"/>
    <n v="95000000"/>
    <s v="Sapphire Wind Company"/>
    <m/>
    <m/>
    <x v="530"/>
    <s v="https://ijglobal.com/articles/89159/pakistani-wind-project-receives-us-95-million-loan"/>
    <x v="3"/>
    <x v="5"/>
    <x v="19"/>
    <s v="Sindh"/>
    <m/>
    <m/>
    <m/>
    <x v="3"/>
    <s v="Onshore Wind"/>
    <s v="Financing"/>
    <n v="133"/>
    <n v="0.15136367334270001"/>
    <n v="6.054546933708"/>
    <m/>
    <n v="133"/>
    <m/>
  </r>
  <r>
    <x v="29"/>
    <x v="96"/>
    <s v="Other Public Financer"/>
    <n v="233000000"/>
    <m/>
    <m/>
    <m/>
    <x v="531"/>
    <s v="https://ijglobal.com/data/transaction/32094/kipeto-wind-farm-100mw"/>
    <x v="3"/>
    <x v="0"/>
    <x v="49"/>
    <m/>
    <m/>
    <m/>
    <m/>
    <x v="3"/>
    <s v="Onshore Wind"/>
    <s v="Financing"/>
    <n v="100"/>
    <n v="0.11380727319"/>
    <n v="4.5522909275999996"/>
    <m/>
    <n v="100"/>
    <m/>
  </r>
  <r>
    <x v="29"/>
    <x v="96"/>
    <s v="Other Public Financer"/>
    <n v="14000000"/>
    <m/>
    <m/>
    <m/>
    <x v="453"/>
    <s v="https://ijglobal.com/data/transaction/37463/lusaka-solar-pv-plant-55mw"/>
    <x v="3"/>
    <x v="0"/>
    <x v="25"/>
    <m/>
    <m/>
    <m/>
    <m/>
    <x v="3"/>
    <s v="Photovoltaic Solar"/>
    <s v="Financing"/>
    <n v="27.5"/>
    <n v="3.1297000127249994E-2"/>
    <n v="1.2518800050899999"/>
    <m/>
    <n v="27.5"/>
    <m/>
  </r>
  <r>
    <x v="29"/>
    <x v="96"/>
    <s v="Other Public Financer"/>
    <n v="400000000"/>
    <m/>
    <m/>
    <m/>
    <x v="199"/>
    <s v="https://ijglobal.com/data/transaction/32729/redstone-csp-plant-100mw"/>
    <x v="3"/>
    <x v="0"/>
    <x v="1"/>
    <m/>
    <m/>
    <m/>
    <m/>
    <x v="3"/>
    <s v="Thermal Solar"/>
    <s v="Financing"/>
    <n v="33.333333333333336"/>
    <n v="3.7935757729999998E-2"/>
    <n v="1.5174303091999999"/>
    <m/>
    <n v="33.333333333333336"/>
    <m/>
  </r>
  <r>
    <x v="29"/>
    <x v="96"/>
    <s v="Other Public Financer"/>
    <n v="250000000"/>
    <m/>
    <m/>
    <m/>
    <x v="532"/>
    <s v="https://ijglobal.com/data/transaction/25356/taiba-ndiaye-wind-farm-158mw"/>
    <x v="3"/>
    <x v="0"/>
    <x v="8"/>
    <m/>
    <m/>
    <m/>
    <m/>
    <x v="3"/>
    <s v="Onshore Wind"/>
    <s v="Financing"/>
    <n v="158"/>
    <n v="0.17981549164019997"/>
    <n v="7.1926196656079986"/>
    <m/>
    <n v="158"/>
    <m/>
  </r>
  <r>
    <x v="29"/>
    <x v="96"/>
    <s v="Other Public Financer"/>
    <n v="74020000"/>
    <m/>
    <m/>
    <m/>
    <x v="533"/>
    <s v="https://ijglobal.com/data/transaction/37017/telangana-pv-solar-plant-100mw"/>
    <x v="3"/>
    <x v="5"/>
    <x v="50"/>
    <s v="Andaman and Nicobar, Andhra Pradesh, Arunachal Pradesh, Assam, Bihar, Chandigarh, Chhattisgarh, Dadra and Nagar Haveli, Daman and Diu, Delhi, Goa, Gujarat, Haryana, Himachal Pradesh, Jammu and Kashmir, Jharkhand, Karnataka, Kerala, Lakshadweep, Madhya Pradesh, Maharashtra, Manipur, Meghalaya, Mizoram, Nagaland, Odisha, Puducherry, Punjab, Rajasthan, Sikkim, Tamil Nadu, Tripura,Uttar Pradesh, Uttarakhand, West Bengal"/>
    <m/>
    <m/>
    <m/>
    <x v="3"/>
    <s v="Photovoltaic Solar"/>
    <s v="Financing"/>
    <n v="100"/>
    <n v="0.11380727319"/>
    <n v="4.5522909275999996"/>
    <m/>
    <n v="1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Recipient Countries">
  <location ref="A7:E85" firstHeaderRow="0" firstDataRow="1" firstDataCol="1" rowPageCount="5" colPageCount="1"/>
  <pivotFields count="25">
    <pivotField name="Filter based on Financing Country:" axis="axisPage" multipleItemSelectionAllowed="1"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name="Filter based on Financing Institution:" axis="axisPage" multipleItemSelectionAllowed="1" showAll="0">
      <items count="99">
        <item x="0"/>
        <item x="65"/>
        <item x="33"/>
        <item x="78"/>
        <item x="56"/>
        <item x="68"/>
        <item x="54"/>
        <item x="6"/>
        <item x="63"/>
        <item x="7"/>
        <item x="18"/>
        <item x="76"/>
        <item x="11"/>
        <item x="14"/>
        <item x="4"/>
        <item x="62"/>
        <item x="66"/>
        <item x="31"/>
        <item x="64"/>
        <item x="28"/>
        <item x="37"/>
        <item x="51"/>
        <item x="83"/>
        <item x="71"/>
        <item x="72"/>
        <item x="27"/>
        <item x="70"/>
        <item x="73"/>
        <item x="34"/>
        <item x="3"/>
        <item x="60"/>
        <item x="29"/>
        <item x="85"/>
        <item x="8"/>
        <item x="10"/>
        <item x="1"/>
        <item x="41"/>
        <item x="95"/>
        <item x="12"/>
        <item x="91"/>
        <item x="86"/>
        <item x="89"/>
        <item x="52"/>
        <item x="94"/>
        <item x="30"/>
        <item x="79"/>
        <item x="9"/>
        <item x="40"/>
        <item x="92"/>
        <item x="84"/>
        <item x="74"/>
        <item x="61"/>
        <item x="77"/>
        <item x="67"/>
        <item x="57"/>
        <item x="58"/>
        <item x="50"/>
        <item x="44"/>
        <item x="49"/>
        <item x="46"/>
        <item x="48"/>
        <item x="38"/>
        <item x="88"/>
        <item x="87"/>
        <item x="81"/>
        <item x="39"/>
        <item x="36"/>
        <item x="35"/>
        <item x="25"/>
        <item x="53"/>
        <item x="45"/>
        <item x="80"/>
        <item x="75"/>
        <item x="2"/>
        <item x="5"/>
        <item x="69"/>
        <item x="96"/>
        <item x="32"/>
        <item x="93"/>
        <item x="82"/>
        <item x="43"/>
        <item x="13"/>
        <item x="42"/>
        <item x="15"/>
        <item x="20"/>
        <item x="26"/>
        <item x="17"/>
        <item x="24"/>
        <item x="21"/>
        <item x="16"/>
        <item x="23"/>
        <item x="47"/>
        <item x="90"/>
        <item x="22"/>
        <item x="97"/>
        <item x="59"/>
        <item x="55"/>
        <item x="19"/>
        <item t="default"/>
      </items>
    </pivotField>
    <pivotField showAll="0"/>
    <pivotField dataField="1" showAll="0"/>
    <pivotField showAll="0"/>
    <pivotField showAll="0"/>
    <pivotField showAll="0"/>
    <pivotField axis="axisRow" showAll="0">
      <items count="535">
        <item x="308"/>
        <item x="340"/>
        <item x="155"/>
        <item x="73"/>
        <item x="72"/>
        <item x="412"/>
        <item x="413"/>
        <item x="437"/>
        <item x="354"/>
        <item x="414"/>
        <item x="415"/>
        <item x="416"/>
        <item x="178"/>
        <item x="280"/>
        <item x="463"/>
        <item x="473"/>
        <item x="510"/>
        <item x="196"/>
        <item x="417"/>
        <item x="55"/>
        <item x="332"/>
        <item x="438"/>
        <item x="439"/>
        <item x="411"/>
        <item x="194"/>
        <item x="366"/>
        <item x="370"/>
        <item x="4"/>
        <item x="27"/>
        <item x="176"/>
        <item x="9"/>
        <item x="418"/>
        <item x="113"/>
        <item x="114"/>
        <item x="115"/>
        <item x="380"/>
        <item x="524"/>
        <item x="172"/>
        <item x="264"/>
        <item x="347"/>
        <item x="504"/>
        <item x="440"/>
        <item x="317"/>
        <item x="83"/>
        <item x="441"/>
        <item x="490"/>
        <item x="365"/>
        <item x="425"/>
        <item x="426"/>
        <item x="58"/>
        <item x="143"/>
        <item x="311"/>
        <item x="493"/>
        <item x="305"/>
        <item x="111"/>
        <item x="123"/>
        <item x="124"/>
        <item x="272"/>
        <item x="276"/>
        <item x="400"/>
        <item x="45"/>
        <item x="93"/>
        <item x="94"/>
        <item x="125"/>
        <item x="126"/>
        <item x="518"/>
        <item x="95"/>
        <item x="79"/>
        <item x="80"/>
        <item x="28"/>
        <item x="328"/>
        <item x="260"/>
        <item x="16"/>
        <item x="427"/>
        <item x="329"/>
        <item x="287"/>
        <item x="520"/>
        <item x="396"/>
        <item x="419"/>
        <item x="161"/>
        <item x="405"/>
        <item x="516"/>
        <item x="49"/>
        <item x="3"/>
        <item x="325"/>
        <item x="39"/>
        <item x="442"/>
        <item x="144"/>
        <item x="145"/>
        <item x="443"/>
        <item x="444"/>
        <item x="462"/>
        <item x="421"/>
        <item x="482"/>
        <item x="119"/>
        <item x="120"/>
        <item x="121"/>
        <item x="122"/>
        <item x="390"/>
        <item x="84"/>
        <item x="85"/>
        <item x="508"/>
        <item x="345"/>
        <item x="153"/>
        <item x="323"/>
        <item x="496"/>
        <item x="349"/>
        <item x="309"/>
        <item x="66"/>
        <item x="209"/>
        <item x="210"/>
        <item x="235"/>
        <item x="214"/>
        <item x="350"/>
        <item x="357"/>
        <item x="227"/>
        <item x="228"/>
        <item x="236"/>
        <item x="222"/>
        <item x="237"/>
        <item x="230"/>
        <item x="226"/>
        <item x="229"/>
        <item x="238"/>
        <item x="223"/>
        <item x="239"/>
        <item x="240"/>
        <item x="206"/>
        <item x="217"/>
        <item x="241"/>
        <item x="242"/>
        <item x="212"/>
        <item x="211"/>
        <item x="215"/>
        <item x="218"/>
        <item x="207"/>
        <item x="216"/>
        <item x="326"/>
        <item x="247"/>
        <item x="208"/>
        <item x="248"/>
        <item x="244"/>
        <item x="445"/>
        <item x="378"/>
        <item x="446"/>
        <item x="312"/>
        <item x="485"/>
        <item x="486"/>
        <item x="404"/>
        <item x="447"/>
        <item x="281"/>
        <item x="271"/>
        <item x="301"/>
        <item x="375"/>
        <item x="397"/>
        <item x="233"/>
        <item x="184"/>
        <item x="509"/>
        <item x="476"/>
        <item x="197"/>
        <item x="23"/>
        <item x="361"/>
        <item x="387"/>
        <item x="382"/>
        <item x="245"/>
        <item x="42"/>
        <item x="7"/>
        <item x="213"/>
        <item x="163"/>
        <item x="304"/>
        <item x="177"/>
        <item x="291"/>
        <item x="74"/>
        <item x="258"/>
        <item x="369"/>
        <item x="363"/>
        <item x="167"/>
        <item x="401"/>
        <item x="71"/>
        <item x="52"/>
        <item x="15"/>
        <item x="253"/>
        <item x="448"/>
        <item x="263"/>
        <item x="277"/>
        <item x="409"/>
        <item x="484"/>
        <item x="449"/>
        <item x="185"/>
        <item x="286"/>
        <item x="191"/>
        <item x="428"/>
        <item x="51"/>
        <item x="138"/>
        <item x="40"/>
        <item x="67"/>
        <item x="68"/>
        <item x="69"/>
        <item x="70"/>
        <item x="200"/>
        <item x="46"/>
        <item x="130"/>
        <item x="528"/>
        <item x="261"/>
        <item x="140"/>
        <item x="273"/>
        <item x="450"/>
        <item x="53"/>
        <item x="97"/>
        <item x="134"/>
        <item x="41"/>
        <item x="331"/>
        <item x="488"/>
        <item x="324"/>
        <item x="429"/>
        <item x="314"/>
        <item x="327"/>
        <item x="75"/>
        <item x="355"/>
        <item x="351"/>
        <item x="43"/>
        <item x="494"/>
        <item x="368"/>
        <item x="171"/>
        <item x="30"/>
        <item x="89"/>
        <item x="303"/>
        <item x="180"/>
        <item x="179"/>
        <item x="436"/>
        <item x="481"/>
        <item x="76"/>
        <item x="492"/>
        <item x="81"/>
        <item x="82"/>
        <item x="98"/>
        <item x="156"/>
        <item x="402"/>
        <item x="489"/>
        <item x="35"/>
        <item x="201"/>
        <item x="99"/>
        <item x="403"/>
        <item x="478"/>
        <item x="393"/>
        <item x="132"/>
        <item x="133"/>
        <item x="531"/>
        <item x="202"/>
        <item x="356"/>
        <item x="31"/>
        <item x="48"/>
        <item x="346"/>
        <item x="268"/>
        <item x="451"/>
        <item x="146"/>
        <item x="147"/>
        <item x="224"/>
        <item x="294"/>
        <item x="430"/>
        <item x="181"/>
        <item x="129"/>
        <item x="348"/>
        <item x="262"/>
        <item x="255"/>
        <item x="64"/>
        <item x="342"/>
        <item x="187"/>
        <item x="289"/>
        <item x="521"/>
        <item x="195"/>
        <item x="435"/>
        <item x="465"/>
        <item x="169"/>
        <item x="13"/>
        <item x="474"/>
        <item x="453"/>
        <item x="135"/>
        <item x="136"/>
        <item x="137"/>
        <item x="384"/>
        <item x="511"/>
        <item x="38"/>
        <item x="431"/>
        <item x="54"/>
        <item x="292"/>
        <item x="391"/>
        <item x="515"/>
        <item x="189"/>
        <item x="454"/>
        <item x="316"/>
        <item x="344"/>
        <item x="116"/>
        <item x="117"/>
        <item x="188"/>
        <item x="96"/>
        <item x="379"/>
        <item x="297"/>
        <item x="296"/>
        <item x="497"/>
        <item x="269"/>
        <item x="203"/>
        <item x="452"/>
        <item x="392"/>
        <item x="205"/>
        <item x="455"/>
        <item x="246"/>
        <item x="219"/>
        <item x="22"/>
        <item x="282"/>
        <item x="307"/>
        <item x="220"/>
        <item x="513"/>
        <item x="249"/>
        <item x="100"/>
        <item x="398"/>
        <item x="406"/>
        <item x="330"/>
        <item x="498"/>
        <item x="408"/>
        <item x="90"/>
        <item x="91"/>
        <item x="399"/>
        <item x="157"/>
        <item x="18"/>
        <item x="318"/>
        <item x="234"/>
        <item x="359"/>
        <item x="148"/>
        <item x="192"/>
        <item x="193"/>
        <item x="283"/>
        <item x="284"/>
        <item x="422"/>
        <item x="257"/>
        <item x="395"/>
        <item x="17"/>
        <item x="278"/>
        <item x="410"/>
        <item x="487"/>
        <item x="2"/>
        <item x="5"/>
        <item x="470"/>
        <item x="495"/>
        <item x="101"/>
        <item x="373"/>
        <item x="468"/>
        <item x="173"/>
        <item x="186"/>
        <item x="407"/>
        <item x="174"/>
        <item x="183"/>
        <item x="522"/>
        <item x="358"/>
        <item x="386"/>
        <item x="364"/>
        <item x="372"/>
        <item x="60"/>
        <item x="267"/>
        <item x="198"/>
        <item x="32"/>
        <item x="526"/>
        <item x="0"/>
        <item x="44"/>
        <item x="56"/>
        <item x="63"/>
        <item x="10"/>
        <item x="367"/>
        <item x="162"/>
        <item x="243"/>
        <item x="88"/>
        <item x="225"/>
        <item x="141"/>
        <item x="142"/>
        <item x="182"/>
        <item x="102"/>
        <item x="103"/>
        <item x="104"/>
        <item x="50"/>
        <item x="433"/>
        <item x="77"/>
        <item x="65"/>
        <item x="360"/>
        <item x="14"/>
        <item x="168"/>
        <item x="20"/>
        <item x="37"/>
        <item x="221"/>
        <item x="290"/>
        <item x="499"/>
        <item x="500"/>
        <item x="105"/>
        <item x="334"/>
        <item x="288"/>
        <item x="341"/>
        <item x="335"/>
        <item x="519"/>
        <item x="199"/>
        <item x="502"/>
        <item x="343"/>
        <item x="469"/>
        <item x="160"/>
        <item x="231"/>
        <item x="274"/>
        <item x="112"/>
        <item x="383"/>
        <item x="118"/>
        <item x="149"/>
        <item x="150"/>
        <item x="298"/>
        <item x="299"/>
        <item x="170"/>
        <item x="47"/>
        <item x="376"/>
        <item x="266"/>
        <item x="388"/>
        <item x="503"/>
        <item x="523"/>
        <item x="333"/>
        <item x="424"/>
        <item x="19"/>
        <item x="254"/>
        <item x="505"/>
        <item x="26"/>
        <item x="336"/>
        <item x="175"/>
        <item x="204"/>
        <item x="285"/>
        <item x="310"/>
        <item x="529"/>
        <item x="512"/>
        <item x="265"/>
        <item x="471"/>
        <item x="251"/>
        <item x="385"/>
        <item x="21"/>
        <item x="352"/>
        <item x="159"/>
        <item x="527"/>
        <item x="362"/>
        <item x="461"/>
        <item x="127"/>
        <item x="128"/>
        <item x="491"/>
        <item x="472"/>
        <item x="507"/>
        <item x="420"/>
        <item x="353"/>
        <item x="517"/>
        <item x="514"/>
        <item x="25"/>
        <item x="389"/>
        <item x="480"/>
        <item x="475"/>
        <item x="1"/>
        <item x="374"/>
        <item x="78"/>
        <item x="232"/>
        <item x="456"/>
        <item x="371"/>
        <item x="532"/>
        <item x="33"/>
        <item x="525"/>
        <item x="256"/>
        <item x="313"/>
        <item x="36"/>
        <item x="306"/>
        <item x="457"/>
        <item x="458"/>
        <item x="8"/>
        <item x="381"/>
        <item x="86"/>
        <item x="275"/>
        <item x="338"/>
        <item x="434"/>
        <item x="533"/>
        <item x="152"/>
        <item x="270"/>
        <item x="259"/>
        <item x="12"/>
        <item x="432"/>
        <item x="87"/>
        <item x="131"/>
        <item x="479"/>
        <item x="29"/>
        <item x="300"/>
        <item x="302"/>
        <item x="106"/>
        <item x="107"/>
        <item x="108"/>
        <item x="109"/>
        <item x="24"/>
        <item x="110"/>
        <item x="337"/>
        <item x="459"/>
        <item x="92"/>
        <item x="165"/>
        <item x="154"/>
        <item x="377"/>
        <item x="466"/>
        <item x="320"/>
        <item x="190"/>
        <item x="464"/>
        <item x="151"/>
        <item x="339"/>
        <item x="57"/>
        <item x="59"/>
        <item x="315"/>
        <item x="477"/>
        <item x="61"/>
        <item x="62"/>
        <item x="11"/>
        <item x="321"/>
        <item x="467"/>
        <item x="166"/>
        <item x="250"/>
        <item x="252"/>
        <item x="34"/>
        <item x="139"/>
        <item x="295"/>
        <item x="319"/>
        <item x="322"/>
        <item x="501"/>
        <item x="483"/>
        <item x="279"/>
        <item x="158"/>
        <item x="164"/>
        <item x="530"/>
        <item x="506"/>
        <item x="394"/>
        <item x="6"/>
        <item x="293"/>
        <item x="423"/>
        <item x="460"/>
        <item t="default"/>
      </items>
    </pivotField>
    <pivotField showAll="0"/>
    <pivotField name="Filter based on Year of Financial Close:" axis="axisPage" numFmtId="14" multipleItemSelectionAllowed="1" showAll="0">
      <items count="42">
        <item h="1" x="0"/>
        <item h="1" x="1"/>
        <item h="1" x="2"/>
        <item h="1" x="3"/>
        <item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t="default"/>
      </items>
    </pivotField>
    <pivotField name="Filter based on Geographic Region:" axis="axisPage" multipleItemSelectionAllowed="1" showAll="0">
      <items count="12">
        <item x="8"/>
        <item x="10"/>
        <item x="3"/>
        <item x="4"/>
        <item x="7"/>
        <item x="1"/>
        <item x="9"/>
        <item x="2"/>
        <item x="5"/>
        <item x="6"/>
        <item x="0"/>
        <item t="default"/>
      </items>
    </pivotField>
    <pivotField axis="axisRow" showAll="0">
      <items count="90">
        <item x="3"/>
        <item x="27"/>
        <item x="71"/>
        <item x="54"/>
        <item x="28"/>
        <item x="74"/>
        <item x="29"/>
        <item x="55"/>
        <item x="30"/>
        <item x="66"/>
        <item x="80"/>
        <item x="10"/>
        <item x="64"/>
        <item x="31"/>
        <item x="58"/>
        <item x="62"/>
        <item x="72"/>
        <item x="32"/>
        <item x="15"/>
        <item x="82"/>
        <item x="68"/>
        <item x="33"/>
        <item x="13"/>
        <item x="34"/>
        <item x="4"/>
        <item x="2"/>
        <item x="35"/>
        <item x="84"/>
        <item x="7"/>
        <item x="75"/>
        <item x="50"/>
        <item x="20"/>
        <item x="12"/>
        <item x="60"/>
        <item x="70"/>
        <item x="79"/>
        <item x="88"/>
        <item x="56"/>
        <item x="51"/>
        <item x="49"/>
        <item x="65"/>
        <item x="23"/>
        <item x="36"/>
        <item x="69"/>
        <item x="61"/>
        <item x="37"/>
        <item x="73"/>
        <item x="81"/>
        <item x="76"/>
        <item x="38"/>
        <item x="39"/>
        <item x="21"/>
        <item x="40"/>
        <item x="41"/>
        <item x="9"/>
        <item x="11"/>
        <item x="87"/>
        <item x="0"/>
        <item x="53"/>
        <item x="63"/>
        <item x="19"/>
        <item x="6"/>
        <item x="57"/>
        <item x="14"/>
        <item x="78"/>
        <item x="83"/>
        <item x="42"/>
        <item x="18"/>
        <item x="85"/>
        <item x="8"/>
        <item x="5"/>
        <item x="1"/>
        <item x="77"/>
        <item x="59"/>
        <item x="43"/>
        <item x="67"/>
        <item x="44"/>
        <item x="45"/>
        <item x="46"/>
        <item x="86"/>
        <item x="47"/>
        <item x="17"/>
        <item x="52"/>
        <item x="16"/>
        <item x="48"/>
        <item x="22"/>
        <item x="24"/>
        <item x="25"/>
        <item x="26"/>
        <item t="default"/>
      </items>
    </pivotField>
    <pivotField showAll="0"/>
    <pivotField showAll="0"/>
    <pivotField showAll="0"/>
    <pivotField showAll="0"/>
    <pivotField name="Filter Coal versus Renewables Projects:" axis="axisPage" multipleItemSelectionAllowed="1" showAll="0">
      <items count="7">
        <item x="2"/>
        <item x="0"/>
        <item x="4"/>
        <item x="1"/>
        <item x="3"/>
        <item x="5"/>
        <item t="default"/>
      </items>
    </pivotField>
    <pivotField showAll="0"/>
    <pivotField showAll="0"/>
    <pivotField dataField="1" showAll="0"/>
    <pivotField dataField="1" showAll="0"/>
    <pivotField dataField="1" showAll="0"/>
    <pivotField showAll="0"/>
    <pivotField showAll="0"/>
    <pivotField showAll="0"/>
  </pivotFields>
  <rowFields count="2">
    <field x="11"/>
    <field x="7"/>
  </rowFields>
  <rowItems count="78">
    <i>
      <x/>
    </i>
    <i r="1">
      <x v="205"/>
    </i>
    <i r="1">
      <x v="525"/>
    </i>
    <i>
      <x v="1"/>
    </i>
    <i r="1">
      <x v="363"/>
    </i>
    <i>
      <x v="2"/>
    </i>
    <i r="1">
      <x v="338"/>
    </i>
    <i r="1">
      <x v="403"/>
    </i>
    <i>
      <x v="9"/>
    </i>
    <i r="1">
      <x v="58"/>
    </i>
    <i r="1">
      <x v="445"/>
    </i>
    <i>
      <x v="11"/>
    </i>
    <i r="1">
      <x v="157"/>
    </i>
    <i r="1">
      <x v="270"/>
    </i>
    <i>
      <x v="15"/>
    </i>
    <i r="1">
      <x v="371"/>
    </i>
    <i>
      <x v="17"/>
    </i>
    <i r="1">
      <x v="184"/>
    </i>
    <i>
      <x v="18"/>
    </i>
    <i r="1">
      <x v="385"/>
    </i>
    <i>
      <x v="21"/>
    </i>
    <i r="1">
      <x v="185"/>
    </i>
    <i>
      <x v="30"/>
    </i>
    <i r="1">
      <x v="316"/>
    </i>
    <i r="1">
      <x v="349"/>
    </i>
    <i>
      <x v="31"/>
    </i>
    <i r="1">
      <x v="53"/>
    </i>
    <i r="1">
      <x v="60"/>
    </i>
    <i r="1">
      <x v="74"/>
    </i>
    <i r="1">
      <x v="169"/>
    </i>
    <i r="1">
      <x v="220"/>
    </i>
    <i r="1">
      <x v="285"/>
    </i>
    <i r="1">
      <x v="429"/>
    </i>
    <i>
      <x v="32"/>
    </i>
    <i r="1">
      <x v="420"/>
    </i>
    <i>
      <x v="36"/>
    </i>
    <i r="1">
      <x v="101"/>
    </i>
    <i>
      <x v="37"/>
    </i>
    <i r="1">
      <x v="16"/>
    </i>
    <i r="1">
      <x v="17"/>
    </i>
    <i>
      <x v="38"/>
    </i>
    <i r="1">
      <x v="45"/>
    </i>
    <i>
      <x v="49"/>
    </i>
    <i r="1">
      <x v="504"/>
    </i>
    <i>
      <x v="58"/>
    </i>
    <i r="1">
      <x v="384"/>
    </i>
    <i>
      <x v="60"/>
    </i>
    <i r="1">
      <x v="165"/>
    </i>
    <i r="1">
      <x v="202"/>
    </i>
    <i r="1">
      <x v="472"/>
    </i>
    <i r="1">
      <x v="491"/>
    </i>
    <i>
      <x v="61"/>
    </i>
    <i r="1">
      <x v="361"/>
    </i>
    <i r="1">
      <x v="438"/>
    </i>
    <i>
      <x v="63"/>
    </i>
    <i r="1">
      <x v="324"/>
    </i>
    <i>
      <x v="69"/>
    </i>
    <i r="1">
      <x v="479"/>
    </i>
    <i>
      <x v="71"/>
    </i>
    <i r="1">
      <x v="238"/>
    </i>
    <i>
      <x v="78"/>
    </i>
    <i r="1">
      <x v="453"/>
    </i>
    <i>
      <x v="79"/>
    </i>
    <i r="1">
      <x v="444"/>
    </i>
    <i>
      <x v="81"/>
    </i>
    <i r="1">
      <x v="200"/>
    </i>
    <i>
      <x v="82"/>
    </i>
    <i r="1">
      <x v="57"/>
    </i>
    <i r="1">
      <x v="151"/>
    </i>
    <i r="1">
      <x v="273"/>
    </i>
    <i r="1">
      <x v="473"/>
    </i>
    <i>
      <x v="83"/>
    </i>
    <i r="1">
      <x v="319"/>
    </i>
    <i r="1">
      <x v="435"/>
    </i>
    <i>
      <x v="86"/>
    </i>
    <i r="1">
      <x v="80"/>
    </i>
    <i r="1">
      <x v="443"/>
    </i>
    <i t="grand">
      <x/>
    </i>
  </rowItems>
  <colFields count="1">
    <field x="-2"/>
  </colFields>
  <colItems count="4">
    <i>
      <x/>
    </i>
    <i i="1">
      <x v="1"/>
    </i>
    <i i="2">
      <x v="2"/>
    </i>
    <i i="3">
      <x v="3"/>
    </i>
  </colItems>
  <pageFields count="5">
    <pageField fld="0" hier="-1"/>
    <pageField fld="16" hier="-1"/>
    <pageField fld="1" hier="-1"/>
    <pageField fld="10" hier="-1"/>
    <pageField fld="9" hier="-1"/>
  </pageFields>
  <dataFields count="4">
    <dataField name="Sum of Amount (in USD)" fld="3" baseField="0" baseItem="15987768"/>
    <dataField name="Sum of Coal Power Plant Size (MW) or Share" fld="19" baseField="11" baseItem="0"/>
    <dataField name="Sum of Annual Emissions (MMTCO2)" fld="20" baseField="0" baseItem="0"/>
    <dataField name="Sum of Lifetime Emissions (MMTCO2)" fld="21" baseField="0" baseItem="0"/>
  </dataFields>
  <formats count="22">
    <format dxfId="110">
      <pivotArea field="0" type="button" dataOnly="0" labelOnly="1" outline="0" axis="axisPage" fieldPosition="0"/>
    </format>
    <format dxfId="111">
      <pivotArea field="16" type="button" dataOnly="0" labelOnly="1" outline="0" axis="axisPage" fieldPosition="1"/>
    </format>
    <format dxfId="112">
      <pivotArea field="1" type="button" dataOnly="0" labelOnly="1" outline="0" axis="axisPage" fieldPosition="2"/>
    </format>
    <format dxfId="113">
      <pivotArea field="9" type="button" dataOnly="0" labelOnly="1" outline="0" axis="axisPage" fieldPosition="4"/>
    </format>
    <format dxfId="114">
      <pivotArea field="10" type="button" dataOnly="0" labelOnly="1" outline="0" axis="axisPage" fieldPosition="3"/>
    </format>
    <format dxfId="115">
      <pivotArea field="11" type="button" dataOnly="0" labelOnly="1" outline="0" axis="axisRow" fieldPosition="0"/>
    </format>
    <format dxfId="116">
      <pivotArea dataOnly="0" labelOnly="1" fieldPosition="0">
        <references count="1">
          <reference field="1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17">
      <pivotArea dataOnly="0" labelOnly="1" fieldPosition="0">
        <references count="1">
          <reference field="11" count="39">
            <x v="50"/>
            <x v="51"/>
            <x v="52"/>
            <x v="53"/>
            <x v="54"/>
            <x v="55"/>
            <x v="56"/>
            <x v="57"/>
            <x v="58"/>
            <x v="59"/>
            <x v="60"/>
            <x v="61"/>
            <x v="62"/>
            <x v="63"/>
            <x v="64"/>
            <x v="65"/>
            <x v="66"/>
            <x v="67"/>
            <x v="68"/>
            <x v="69"/>
            <x v="70"/>
            <x v="71"/>
            <x v="72"/>
            <x v="73"/>
            <x v="74"/>
            <x v="75"/>
            <x v="76"/>
            <x v="77"/>
            <x v="78"/>
            <x v="79"/>
            <x v="80"/>
            <x v="81"/>
            <x v="82"/>
            <x v="83"/>
            <x v="84"/>
            <x v="85"/>
            <x v="86"/>
            <x v="87"/>
            <x v="88"/>
          </reference>
        </references>
      </pivotArea>
    </format>
    <format dxfId="118">
      <pivotArea dataOnly="0" labelOnly="1" grandRow="1" outline="0" fieldPosition="0"/>
    </format>
    <format dxfId="119">
      <pivotArea dataOnly="0" labelOnly="1" fieldPosition="0">
        <references count="2">
          <reference field="7" count="50">
            <x v="19"/>
            <x v="30"/>
            <x v="49"/>
            <x v="50"/>
            <x v="58"/>
            <x v="59"/>
            <x v="65"/>
            <x v="70"/>
            <x v="76"/>
            <x v="83"/>
            <x v="84"/>
            <x v="89"/>
            <x v="90"/>
            <x v="102"/>
            <x v="131"/>
            <x v="163"/>
            <x v="167"/>
            <x v="179"/>
            <x v="189"/>
            <x v="205"/>
            <x v="207"/>
            <x v="265"/>
            <x v="266"/>
            <x v="284"/>
            <x v="290"/>
            <x v="291"/>
            <x v="310"/>
            <x v="337"/>
            <x v="338"/>
            <x v="347"/>
            <x v="350"/>
            <x v="357"/>
            <x v="363"/>
            <x v="364"/>
            <x v="365"/>
            <x v="393"/>
            <x v="396"/>
            <x v="398"/>
            <x v="403"/>
            <x v="421"/>
            <x v="430"/>
            <x v="437"/>
            <x v="445"/>
            <x v="469"/>
            <x v="505"/>
            <x v="506"/>
            <x v="509"/>
            <x v="510"/>
            <x v="525"/>
            <x v="533"/>
          </reference>
          <reference field="11" count="1" selected="0">
            <x v="0"/>
          </reference>
        </references>
      </pivotArea>
    </format>
    <format dxfId="120">
      <pivotArea dataOnly="0" labelOnly="1" fieldPosition="0">
        <references count="2">
          <reference field="7" count="50">
            <x v="0"/>
            <x v="5"/>
            <x v="6"/>
            <x v="9"/>
            <x v="10"/>
            <x v="11"/>
            <x v="13"/>
            <x v="21"/>
            <x v="22"/>
            <x v="24"/>
            <x v="26"/>
            <x v="31"/>
            <x v="37"/>
            <x v="40"/>
            <x v="92"/>
            <x v="107"/>
            <x v="108"/>
            <x v="109"/>
            <x v="137"/>
            <x v="141"/>
            <x v="148"/>
            <x v="149"/>
            <x v="157"/>
            <x v="176"/>
            <x v="182"/>
            <x v="211"/>
            <x v="222"/>
            <x v="264"/>
            <x v="270"/>
            <x v="271"/>
            <x v="280"/>
            <x v="299"/>
            <x v="306"/>
            <x v="323"/>
            <x v="346"/>
            <x v="371"/>
            <x v="381"/>
            <x v="383"/>
            <x v="388"/>
            <x v="405"/>
            <x v="413"/>
            <x v="414"/>
            <x v="416"/>
            <x v="446"/>
            <x v="447"/>
            <x v="477"/>
            <x v="478"/>
            <x v="515"/>
            <x v="516"/>
            <x v="528"/>
          </reference>
          <reference field="11" count="1" selected="0">
            <x v="9"/>
          </reference>
        </references>
      </pivotArea>
    </format>
    <format dxfId="121">
      <pivotArea dataOnly="0" labelOnly="1" fieldPosition="0">
        <references count="2">
          <reference field="7" count="50">
            <x v="2"/>
            <x v="3"/>
            <x v="4"/>
            <x v="7"/>
            <x v="27"/>
            <x v="36"/>
            <x v="38"/>
            <x v="41"/>
            <x v="51"/>
            <x v="52"/>
            <x v="79"/>
            <x v="91"/>
            <x v="119"/>
            <x v="121"/>
            <x v="124"/>
            <x v="125"/>
            <x v="126"/>
            <x v="161"/>
            <x v="162"/>
            <x v="172"/>
            <x v="173"/>
            <x v="178"/>
            <x v="184"/>
            <x v="185"/>
            <x v="195"/>
            <x v="196"/>
            <x v="197"/>
            <x v="198"/>
            <x v="206"/>
            <x v="214"/>
            <x v="263"/>
            <x v="294"/>
            <x v="335"/>
            <x v="336"/>
            <x v="340"/>
            <x v="341"/>
            <x v="354"/>
            <x v="385"/>
            <x v="387"/>
            <x v="415"/>
            <x v="426"/>
            <x v="428"/>
            <x v="467"/>
            <x v="468"/>
            <x v="480"/>
            <x v="493"/>
            <x v="511"/>
            <x v="514"/>
            <x v="524"/>
            <x v="530"/>
          </reference>
          <reference field="11" count="1" selected="0">
            <x v="17"/>
          </reference>
        </references>
      </pivotArea>
    </format>
    <format dxfId="122">
      <pivotArea dataOnly="0" labelOnly="1" fieldPosition="0">
        <references count="2">
          <reference field="7" count="50">
            <x v="1"/>
            <x v="53"/>
            <x v="60"/>
            <x v="74"/>
            <x v="82"/>
            <x v="85"/>
            <x v="87"/>
            <x v="88"/>
            <x v="103"/>
            <x v="104"/>
            <x v="105"/>
            <x v="138"/>
            <x v="139"/>
            <x v="142"/>
            <x v="145"/>
            <x v="169"/>
            <x v="171"/>
            <x v="187"/>
            <x v="215"/>
            <x v="216"/>
            <x v="217"/>
            <x v="220"/>
            <x v="221"/>
            <x v="223"/>
            <x v="231"/>
            <x v="232"/>
            <x v="237"/>
            <x v="239"/>
            <x v="252"/>
            <x v="255"/>
            <x v="256"/>
            <x v="257"/>
            <x v="258"/>
            <x v="285"/>
            <x v="297"/>
            <x v="298"/>
            <x v="311"/>
            <x v="312"/>
            <x v="316"/>
            <x v="343"/>
            <x v="349"/>
            <x v="399"/>
            <x v="400"/>
            <x v="402"/>
            <x v="427"/>
            <x v="455"/>
            <x v="464"/>
            <x v="475"/>
            <x v="497"/>
            <x v="513"/>
          </reference>
          <reference field="11" count="1" selected="0">
            <x v="30"/>
          </reference>
        </references>
      </pivotArea>
    </format>
    <format dxfId="123">
      <pivotArea dataOnly="0" labelOnly="1" fieldPosition="0">
        <references count="2">
          <reference field="7" count="50">
            <x v="12"/>
            <x v="16"/>
            <x v="17"/>
            <x v="18"/>
            <x v="29"/>
            <x v="35"/>
            <x v="45"/>
            <x v="72"/>
            <x v="77"/>
            <x v="78"/>
            <x v="101"/>
            <x v="123"/>
            <x v="144"/>
            <x v="156"/>
            <x v="159"/>
            <x v="170"/>
            <x v="188"/>
            <x v="227"/>
            <x v="228"/>
            <x v="283"/>
            <x v="286"/>
            <x v="289"/>
            <x v="296"/>
            <x v="300"/>
            <x v="307"/>
            <x v="322"/>
            <x v="348"/>
            <x v="360"/>
            <x v="380"/>
            <x v="386"/>
            <x v="392"/>
            <x v="394"/>
            <x v="395"/>
            <x v="418"/>
            <x v="420"/>
            <x v="422"/>
            <x v="424"/>
            <x v="425"/>
            <x v="429"/>
            <x v="449"/>
            <x v="450"/>
            <x v="451"/>
            <x v="456"/>
            <x v="457"/>
            <x v="458"/>
            <x v="459"/>
            <x v="461"/>
            <x v="465"/>
            <x v="466"/>
            <x v="476"/>
          </reference>
          <reference field="11" count="1" selected="0">
            <x v="31"/>
          </reference>
        </references>
      </pivotArea>
    </format>
    <format dxfId="124">
      <pivotArea dataOnly="0" labelOnly="1" fieldPosition="0">
        <references count="2">
          <reference field="7" count="50">
            <x v="39"/>
            <x v="43"/>
            <x v="67"/>
            <x v="68"/>
            <x v="69"/>
            <x v="71"/>
            <x v="73"/>
            <x v="86"/>
            <x v="99"/>
            <x v="100"/>
            <x v="106"/>
            <x v="113"/>
            <x v="115"/>
            <x v="117"/>
            <x v="118"/>
            <x v="129"/>
            <x v="140"/>
            <x v="155"/>
            <x v="164"/>
            <x v="191"/>
            <x v="226"/>
            <x v="233"/>
            <x v="234"/>
            <x v="236"/>
            <x v="240"/>
            <x v="247"/>
            <x v="249"/>
            <x v="254"/>
            <x v="259"/>
            <x v="262"/>
            <x v="267"/>
            <x v="272"/>
            <x v="301"/>
            <x v="352"/>
            <x v="353"/>
            <x v="369"/>
            <x v="372"/>
            <x v="373"/>
            <x v="411"/>
            <x v="419"/>
            <x v="431"/>
            <x v="440"/>
            <x v="471"/>
            <x v="481"/>
            <x v="502"/>
            <x v="504"/>
            <x v="507"/>
            <x v="508"/>
            <x v="531"/>
            <x v="532"/>
          </reference>
          <reference field="11" count="1" selected="0">
            <x v="38"/>
          </reference>
        </references>
      </pivotArea>
    </format>
    <format dxfId="125">
      <pivotArea dataOnly="0" labelOnly="1" fieldPosition="0">
        <references count="2">
          <reference field="7" count="50">
            <x v="15"/>
            <x v="61"/>
            <x v="62"/>
            <x v="66"/>
            <x v="114"/>
            <x v="165"/>
            <x v="174"/>
            <x v="175"/>
            <x v="180"/>
            <x v="190"/>
            <x v="192"/>
            <x v="199"/>
            <x v="202"/>
            <x v="208"/>
            <x v="218"/>
            <x v="219"/>
            <x v="224"/>
            <x v="225"/>
            <x v="229"/>
            <x v="235"/>
            <x v="241"/>
            <x v="242"/>
            <x v="244"/>
            <x v="253"/>
            <x v="274"/>
            <x v="287"/>
            <x v="302"/>
            <x v="305"/>
            <x v="309"/>
            <x v="317"/>
            <x v="320"/>
            <x v="321"/>
            <x v="327"/>
            <x v="329"/>
            <x v="330"/>
            <x v="331"/>
            <x v="332"/>
            <x v="333"/>
            <x v="334"/>
            <x v="340"/>
            <x v="351"/>
            <x v="359"/>
            <x v="362"/>
            <x v="370"/>
            <x v="384"/>
            <x v="409"/>
            <x v="410"/>
            <x v="423"/>
            <x v="495"/>
            <x v="500"/>
          </reference>
          <reference field="11" count="1" selected="0">
            <x v="50"/>
          </reference>
        </references>
      </pivotArea>
    </format>
    <format dxfId="126">
      <pivotArea dataOnly="0" labelOnly="1" fieldPosition="0">
        <references count="2">
          <reference field="7" count="50">
            <x v="47"/>
            <x v="48"/>
            <x v="54"/>
            <x v="111"/>
            <x v="112"/>
            <x v="116"/>
            <x v="122"/>
            <x v="130"/>
            <x v="143"/>
            <x v="153"/>
            <x v="213"/>
            <x v="288"/>
            <x v="303"/>
            <x v="314"/>
            <x v="315"/>
            <x v="324"/>
            <x v="328"/>
            <x v="344"/>
            <x v="345"/>
            <x v="356"/>
            <x v="361"/>
            <x v="366"/>
            <x v="367"/>
            <x v="375"/>
            <x v="376"/>
            <x v="377"/>
            <x v="378"/>
            <x v="379"/>
            <x v="382"/>
            <x v="391"/>
            <x v="401"/>
            <x v="404"/>
            <x v="407"/>
            <x v="408"/>
            <x v="412"/>
            <x v="417"/>
            <x v="434"/>
            <x v="438"/>
            <x v="470"/>
            <x v="472"/>
            <x v="487"/>
            <x v="488"/>
            <x v="489"/>
            <x v="490"/>
            <x v="491"/>
            <x v="492"/>
            <x v="494"/>
            <x v="498"/>
            <x v="501"/>
            <x v="527"/>
          </reference>
          <reference field="11" count="1" selected="0">
            <x v="60"/>
          </reference>
        </references>
      </pivotArea>
    </format>
    <format dxfId="127">
      <pivotArea dataOnly="0" labelOnly="1" fieldPosition="0">
        <references count="2">
          <reference field="7" count="50">
            <x v="8"/>
            <x v="14"/>
            <x v="23"/>
            <x v="25"/>
            <x v="32"/>
            <x v="33"/>
            <x v="34"/>
            <x v="93"/>
            <x v="120"/>
            <x v="127"/>
            <x v="128"/>
            <x v="132"/>
            <x v="133"/>
            <x v="135"/>
            <x v="136"/>
            <x v="146"/>
            <x v="147"/>
            <x v="150"/>
            <x v="158"/>
            <x v="160"/>
            <x v="166"/>
            <x v="183"/>
            <x v="186"/>
            <x v="212"/>
            <x v="230"/>
            <x v="238"/>
            <x v="243"/>
            <x v="248"/>
            <x v="250"/>
            <x v="251"/>
            <x v="260"/>
            <x v="292"/>
            <x v="293"/>
            <x v="295"/>
            <x v="304"/>
            <x v="326"/>
            <x v="339"/>
            <x v="397"/>
            <x v="406"/>
            <x v="433"/>
            <x v="436"/>
            <x v="448"/>
            <x v="454"/>
            <x v="460"/>
            <x v="479"/>
            <x v="483"/>
            <x v="503"/>
            <x v="523"/>
            <x v="529"/>
            <x v="531"/>
          </reference>
          <reference field="11" count="1" selected="0">
            <x v="67"/>
          </reference>
        </references>
      </pivotArea>
    </format>
    <format dxfId="128">
      <pivotArea dataOnly="0" labelOnly="1" fieldPosition="0">
        <references count="2">
          <reference field="7" count="50">
            <x v="20"/>
            <x v="44"/>
            <x v="46"/>
            <x v="55"/>
            <x v="56"/>
            <x v="57"/>
            <x v="63"/>
            <x v="64"/>
            <x v="81"/>
            <x v="94"/>
            <x v="95"/>
            <x v="96"/>
            <x v="97"/>
            <x v="98"/>
            <x v="110"/>
            <x v="134"/>
            <x v="151"/>
            <x v="154"/>
            <x v="168"/>
            <x v="177"/>
            <x v="181"/>
            <x v="200"/>
            <x v="201"/>
            <x v="203"/>
            <x v="204"/>
            <x v="261"/>
            <x v="273"/>
            <x v="275"/>
            <x v="308"/>
            <x v="313"/>
            <x v="319"/>
            <x v="342"/>
            <x v="355"/>
            <x v="358"/>
            <x v="368"/>
            <x v="374"/>
            <x v="432"/>
            <x v="435"/>
            <x v="439"/>
            <x v="441"/>
            <x v="442"/>
            <x v="444"/>
            <x v="453"/>
            <x v="462"/>
            <x v="463"/>
            <x v="473"/>
            <x v="474"/>
            <x v="496"/>
            <x v="499"/>
            <x v="526"/>
          </reference>
          <reference field="11" count="1" selected="0">
            <x v="77"/>
          </reference>
        </references>
      </pivotArea>
    </format>
    <format dxfId="129">
      <pivotArea dataOnly="0" labelOnly="1" fieldPosition="0">
        <references count="2">
          <reference field="7" count="36">
            <x v="28"/>
            <x v="42"/>
            <x v="75"/>
            <x v="80"/>
            <x v="152"/>
            <x v="193"/>
            <x v="194"/>
            <x v="209"/>
            <x v="210"/>
            <x v="245"/>
            <x v="246"/>
            <x v="268"/>
            <x v="269"/>
            <x v="276"/>
            <x v="277"/>
            <x v="278"/>
            <x v="279"/>
            <x v="281"/>
            <x v="282"/>
            <x v="318"/>
            <x v="325"/>
            <x v="389"/>
            <x v="390"/>
            <x v="443"/>
            <x v="452"/>
            <x v="482"/>
            <x v="484"/>
            <x v="485"/>
            <x v="486"/>
            <x v="512"/>
            <x v="517"/>
            <x v="518"/>
            <x v="519"/>
            <x v="520"/>
            <x v="521"/>
            <x v="522"/>
          </reference>
          <reference field="11" count="1" selected="0">
            <x v="84"/>
          </reference>
        </references>
      </pivotArea>
    </format>
    <format dxfId="130">
      <pivotArea field="11" type="button" dataOnly="0" labelOnly="1" outline="0" axis="axisRow" fieldPosition="0"/>
    </format>
    <format dxfId="131">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Y897" totalsRowCount="1" headerRowDxfId="160" totalsRowDxfId="159">
  <autoFilter ref="A1:Y896">
    <filterColumn colId="9">
      <filters>
        <dateGroupItem year="2051" dateTimeGrouping="year"/>
      </filters>
    </filterColumn>
  </autoFilter>
  <sortState ref="A2:Z931">
    <sortCondition ref="A1:A931"/>
  </sortState>
  <tableColumns count="25">
    <tableColumn id="1" name="Country" totalsRowLabel="Total" totalsRowDxfId="156"/>
    <tableColumn id="2" name="Institution" totalsRowDxfId="155"/>
    <tableColumn id="3" name="Type" totalsRowDxfId="154"/>
    <tableColumn id="4" name="Amount (in USD)" totalsRowFunction="sum" dataDxfId="157" totalsRowDxfId="153" dataCellStyle="Comma"/>
    <tableColumn id="5" name="Project Sponsor" totalsRowDxfId="152"/>
    <tableColumn id="35" name="Construction" totalsRowDxfId="151"/>
    <tableColumn id="41" name="Equipment (GENMFR)" totalsRowDxfId="150"/>
    <tableColumn id="6" name="Project" totalsRowDxfId="149"/>
    <tableColumn id="7" name="URL1" totalsRowDxfId="148"/>
    <tableColumn id="11" name="Financial Close" dataDxfId="158" totalsRowDxfId="147"/>
    <tableColumn id="39" name="Region" totalsRowDxfId="146"/>
    <tableColumn id="8" name="Recipient Country" totalsRowDxfId="145"/>
    <tableColumn id="21" name="Recipient Subregion" totalsRowDxfId="144"/>
    <tableColumn id="12" name="Notes" totalsRowDxfId="143"/>
    <tableColumn id="13" name="URL2" totalsRowDxfId="142"/>
    <tableColumn id="38" name="URL3" totalsRowDxfId="141"/>
    <tableColumn id="9" name="Sector Group" totalsRowDxfId="140"/>
    <tableColumn id="10" name="Sector" totalsRowDxfId="139"/>
    <tableColumn id="19" name="Status" totalsRowDxfId="138"/>
    <tableColumn id="14" name="Coal Power Plant Size (MW) or Share" totalsRowFunction="sum" totalsRowDxfId="137"/>
    <tableColumn id="15" name="Annual Emissions (MMTCO2)" totalsRowFunction="sum" totalsRowDxfId="136">
      <calculatedColumnFormula>Table1[[#This Row],[Coal Power Plant Size (MW) or Share]]*0.593*9057*211.9*10^(-9)</calculatedColumnFormula>
    </tableColumn>
    <tableColumn id="16" name="Lifetime Emissions (MMTCO2)" totalsRowFunction="sum" totalsRowDxfId="135">
      <calculatedColumnFormula>Table1[[#This Row],[Annual Emissions (MMTCO2)]]*40</calculatedColumnFormula>
    </tableColumn>
    <tableColumn id="17" name="Coal Mine Size (Mtpa)" totalsRowFunction="sum" totalsRowDxfId="134"/>
    <tableColumn id="26" name="Renewable Power (MW)" totalsRowDxfId="133"/>
    <tableColumn id="20" name="Low-Income Country" totalsRowDxfId="132"/>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sinosure.com.cn/sinosure/xwzx/xwgj/images/20160128/33262.pdf" TargetMode="External"/><Relationship Id="rId21" Type="http://schemas.openxmlformats.org/officeDocument/2006/relationships/hyperlink" Target="https://tradefinanceanalytics.com/data/transaction/55048/tlb-270-million-1016" TargetMode="External"/><Relationship Id="rId42" Type="http://schemas.openxmlformats.org/officeDocument/2006/relationships/hyperlink" Target="https://ijglobal.com/data/project/35718/long-phu-1-thermal-power-plant-1200mw" TargetMode="External"/><Relationship Id="rId47" Type="http://schemas.openxmlformats.org/officeDocument/2006/relationships/hyperlink" Target="https://ijglobal.com/articles/104533/pakistan-signs-on-two-china-corridor-coal-fired-projects" TargetMode="External"/><Relationship Id="rId63" Type="http://schemas.openxmlformats.org/officeDocument/2006/relationships/hyperlink" Target="http://www.reuters.com/article/us-bangladesh-power-protest-idUSKBN15H0L3" TargetMode="External"/><Relationship Id="rId68" Type="http://schemas.openxmlformats.org/officeDocument/2006/relationships/hyperlink" Target="http://www.sourcewatch.org/index.php/Baganuur_power_station_(POSCO/MCS)" TargetMode="External"/><Relationship Id="rId84" Type="http://schemas.openxmlformats.org/officeDocument/2006/relationships/hyperlink" Target="https://ijglobal.com/data/transaction/36716/ayoun-moussa-coal-fired-power-plant-2460mw" TargetMode="External"/><Relationship Id="rId89" Type="http://schemas.openxmlformats.org/officeDocument/2006/relationships/hyperlink" Target="https://ijglobal.com/data/transaction/28178/gemini-offshore-wind-farm-600mw" TargetMode="External"/><Relationship Id="rId2" Type="http://schemas.openxmlformats.org/officeDocument/2006/relationships/hyperlink" Target="http://www.jica.go.jp/english/news/press/2015/150706_01.html" TargetMode="External"/><Relationship Id="rId16" Type="http://schemas.openxmlformats.org/officeDocument/2006/relationships/hyperlink" Target="http://www.jbic.go.jp/en/efforts/environment/projects/48375" TargetMode="External"/><Relationship Id="rId29" Type="http://schemas.openxmlformats.org/officeDocument/2006/relationships/hyperlink" Target="http://www.sourcewatch.org/index.php/Tevshiin_Gobi_power_station" TargetMode="External"/><Relationship Id="rId107" Type="http://schemas.openxmlformats.org/officeDocument/2006/relationships/hyperlink" Target="https://ijglobal.com/data/transaction/36031/west-nile-csp-plant-100mw" TargetMode="External"/><Relationship Id="rId11" Type="http://schemas.openxmlformats.org/officeDocument/2006/relationships/hyperlink" Target="https://ijglobal.com/data/transaction/29076/thomaslloyd-renewable-portfolio-financing" TargetMode="External"/><Relationship Id="rId24" Type="http://schemas.openxmlformats.org/officeDocument/2006/relationships/hyperlink" Target="http://www.jogmec.go.jp/english/news/release/news_06_000017.html" TargetMode="External"/><Relationship Id="rId32" Type="http://schemas.openxmlformats.org/officeDocument/2006/relationships/hyperlink" Target="http://www.tractebelenergia.com.br/wps/wcm/connect/5905b0ed-b22e-42aa-8392-3aece8ec84d3/Perguntas+e+Respostas+UTE+Pampa+Sul.pdf?MOD=AJPERES" TargetMode="External"/><Relationship Id="rId37" Type="http://schemas.openxmlformats.org/officeDocument/2006/relationships/hyperlink" Target="http://www.genco3.com/d4/news/Le-khoi-cong-xay-dung-Nha-may-Nhiet-dien-Vinh-Tan-4-Mo-rong-1-317.aspx" TargetMode="External"/><Relationship Id="rId40" Type="http://schemas.openxmlformats.org/officeDocument/2006/relationships/hyperlink" Target="http://truyenhinhnghean.vn/kinh-te/201510/nha-may-nhiet-dien-quynh-lap-2-se-do-cong-ty-posco-enegy-dau-tu-xay-dung-645164/" TargetMode="External"/><Relationship Id="rId45" Type="http://schemas.openxmlformats.org/officeDocument/2006/relationships/hyperlink" Target="http://nation.com.pk/national/28-Jan-2017/certain-issues-need-to-be-streamlined" TargetMode="External"/><Relationship Id="rId53" Type="http://schemas.openxmlformats.org/officeDocument/2006/relationships/hyperlink" Target="http://www.sourcewatch.org/index.php/Sinar_Mas_Jambi_power_station" TargetMode="External"/><Relationship Id="rId58" Type="http://schemas.openxmlformats.org/officeDocument/2006/relationships/hyperlink" Target="https://ijglobal.com/data/transaction/20604/hassyan-coal-fired-power-plant-phase-1-2400mw-ppp" TargetMode="External"/><Relationship Id="rId66" Type="http://schemas.openxmlformats.org/officeDocument/2006/relationships/hyperlink" Target="https://ijglobal.com/data/transaction/34998/bulawayo-thermal-power-plant-90mw-rehabilitation" TargetMode="External"/><Relationship Id="rId74" Type="http://schemas.openxmlformats.org/officeDocument/2006/relationships/hyperlink" Target="https://ijglobal.com/data/transaction/36661/tbcc-thatta-district-wind-complex-150mw" TargetMode="External"/><Relationship Id="rId79" Type="http://schemas.openxmlformats.org/officeDocument/2006/relationships/hyperlink" Target="http://www.hkexnews.hk/listedco/listconews/sehk/2016/0126/LTN20160126696.pdf" TargetMode="External"/><Relationship Id="rId87" Type="http://schemas.openxmlformats.org/officeDocument/2006/relationships/hyperlink" Target="http://jakartaglobe.beritasatu.com/business/sinar-mas-energy-holding-pushes-ahead-coal-fired-power-plants/" TargetMode="External"/><Relationship Id="rId102" Type="http://schemas.openxmlformats.org/officeDocument/2006/relationships/hyperlink" Target="http://www.sundaystandard.info/botswana-fresh-multi-billion-power-project-blunder" TargetMode="External"/><Relationship Id="rId5" Type="http://schemas.openxmlformats.org/officeDocument/2006/relationships/hyperlink" Target="http://www.sepco3.com/news_article.aspx?NewsId=416&amp;CateId=137" TargetMode="External"/><Relationship Id="rId61" Type="http://schemas.openxmlformats.org/officeDocument/2006/relationships/hyperlink" Target="http://www.sourcewatch.org/index.php/Barapukuria_Ashuganj_power_station" TargetMode="External"/><Relationship Id="rId82" Type="http://schemas.openxmlformats.org/officeDocument/2006/relationships/hyperlink" Target="http://am570.com.br/noticia.php?Tid=5464" TargetMode="External"/><Relationship Id="rId90" Type="http://schemas.openxmlformats.org/officeDocument/2006/relationships/hyperlink" Target="https://ijglobal.com/data/transaction/36452/ostro-andhra-wind-farm-987mw" TargetMode="External"/><Relationship Id="rId95" Type="http://schemas.openxmlformats.org/officeDocument/2006/relationships/hyperlink" Target="http://baokhanhhoa.com.vn/kinh-te/201504/du-an-nhiet-dien-van-phong-1-ban-giao-mat-bang-trong-nam-2015-2382242/" TargetMode="External"/><Relationship Id="rId19" Type="http://schemas.openxmlformats.org/officeDocument/2006/relationships/hyperlink" Target="https://ijglobal.com/articles/100054/central-java-financial-close-slips-again" TargetMode="External"/><Relationship Id="rId14" Type="http://schemas.openxmlformats.org/officeDocument/2006/relationships/hyperlink" Target="http://www.koreatimes.co.kr/www/news/biz/2015/08/123_184918.html" TargetMode="External"/><Relationship Id="rId22" Type="http://schemas.openxmlformats.org/officeDocument/2006/relationships/hyperlink" Target="http://allafrica.com/stories/201612010419.html" TargetMode="External"/><Relationship Id="rId27" Type="http://schemas.openxmlformats.org/officeDocument/2006/relationships/hyperlink" Target="https://ijglobal.com/data/transaction/37695?name=Preah%20Sihanouk%20Coal-Fired%20Power%20Plant%20(135MW)&amp;link=%2Farticles%2F105014%2Fcambodia-approves-new-power-and-transmission-projects" TargetMode="External"/><Relationship Id="rId30" Type="http://schemas.openxmlformats.org/officeDocument/2006/relationships/hyperlink" Target="http://www.inform.kz/eng/article/2813050" TargetMode="External"/><Relationship Id="rId35" Type="http://schemas.openxmlformats.org/officeDocument/2006/relationships/hyperlink" Target="https://ijglobal.com/data/transaction/32141/ncondezi-coal-fired-power-plant-300mw" TargetMode="External"/><Relationship Id="rId43" Type="http://schemas.openxmlformats.org/officeDocument/2006/relationships/hyperlink" Target="http://nangluongvietnam.vn/" TargetMode="External"/><Relationship Id="rId48" Type="http://schemas.openxmlformats.org/officeDocument/2006/relationships/hyperlink" Target="https://ijglobal.com/data/transaction/32419/thar-coal-mine-and-coal-fired-power-plant-660mw-phase-1" TargetMode="External"/><Relationship Id="rId56" Type="http://schemas.openxmlformats.org/officeDocument/2006/relationships/hyperlink" Target="http://www.iea.org/publications/freepublications/publication/Partner_Country_SeriesChinaBoosting_the_Power_Sector_in_SubSaharan_Africa_Chinas_Involvement.pdf" TargetMode="External"/><Relationship Id="rId64" Type="http://schemas.openxmlformats.org/officeDocument/2006/relationships/hyperlink" Target="https://ijglobal.com/data/transaction/32399/sasec-zimbabwe-coal-project" TargetMode="External"/><Relationship Id="rId69" Type="http://schemas.openxmlformats.org/officeDocument/2006/relationships/hyperlink" Target="http://www.sourcewatch.org/index.php/Ayoun_Moussa_power_station" TargetMode="External"/><Relationship Id="rId77" Type="http://schemas.openxmlformats.org/officeDocument/2006/relationships/hyperlink" Target="http://www.coalage.com/news/world-news/5488-world-news-november-2016.html" TargetMode="External"/><Relationship Id="rId100" Type="http://schemas.openxmlformats.org/officeDocument/2006/relationships/hyperlink" Target="https://ijglobal.com/data/transaction/38186/acwa-power-benban-solar-pv-portfolio-120mw" TargetMode="External"/><Relationship Id="rId105" Type="http://schemas.openxmlformats.org/officeDocument/2006/relationships/hyperlink" Target="https://ijglobal.com/data/transaction/28728/morocco-onee-wind-power-programme-850mw" TargetMode="External"/><Relationship Id="rId8" Type="http://schemas.openxmlformats.org/officeDocument/2006/relationships/hyperlink" Target="http://www.jbic.go.jp/en/efforts/environment/projects/48375" TargetMode="External"/><Relationship Id="rId51" Type="http://schemas.openxmlformats.org/officeDocument/2006/relationships/hyperlink" Target="http://www.sourcewatch.org/index.php/Kamwamba_power_station" TargetMode="External"/><Relationship Id="rId72" Type="http://schemas.openxmlformats.org/officeDocument/2006/relationships/hyperlink" Target="http://www.sinosure.com.cn/sinosure/xwzx/xwgj/images/20160128/33262.pdf" TargetMode="External"/><Relationship Id="rId80" Type="http://schemas.openxmlformats.org/officeDocument/2006/relationships/hyperlink" Target="http://www.newtearoad.com/Article.php?id=2615" TargetMode="External"/><Relationship Id="rId85" Type="http://schemas.openxmlformats.org/officeDocument/2006/relationships/hyperlink" Target="https://tradefinanceanalytics.com/uploads/TF%20Awards%20Pages.pdf" TargetMode="External"/><Relationship Id="rId93" Type="http://schemas.openxmlformats.org/officeDocument/2006/relationships/hyperlink" Target="http://www.ebrd.com/work-with-us/projects/psd/eps-restructuring.html" TargetMode="External"/><Relationship Id="rId98" Type="http://schemas.openxmlformats.org/officeDocument/2006/relationships/hyperlink" Target="https://ijglobal.com/data/transaction/38186/acwa-power-benban-solar-pv-portfolio-120mw" TargetMode="External"/><Relationship Id="rId3" Type="http://schemas.openxmlformats.org/officeDocument/2006/relationships/hyperlink" Target="http://fscwire.com/sites/default/files/news_release_pdf/ProphecyDec182015.pdf" TargetMode="External"/><Relationship Id="rId12" Type="http://schemas.openxmlformats.org/officeDocument/2006/relationships/hyperlink" Target="https://tradefinanceanalytics.com/Articles/3291884/Euler-Hermes-fulfils-maiden-loan-cover-for-Greek-power-plant" TargetMode="External"/><Relationship Id="rId17" Type="http://schemas.openxmlformats.org/officeDocument/2006/relationships/hyperlink" Target="http://www.4-traders.com/PT-TAMBANG-BATUBARA-BUKIT-6496448/news/PT-Tambang-Batubara-Bukit-Asam-Tbk-PTBA-Journey-2015-21907169/?iCStream=1" TargetMode="External"/><Relationship Id="rId25" Type="http://schemas.openxmlformats.org/officeDocument/2006/relationships/hyperlink" Target="http://www.ecic.co.za/About-Us/Projects" TargetMode="External"/><Relationship Id="rId33" Type="http://schemas.openxmlformats.org/officeDocument/2006/relationships/hyperlink" Target="https://ijglobal.com/data/transaction/33205/k-electric-port-qasim-coal-fired-power-plant-700mw" TargetMode="External"/><Relationship Id="rId38" Type="http://schemas.openxmlformats.org/officeDocument/2006/relationships/hyperlink" Target="https://ijglobal.com/data/transaction/31707/vinh-tan-4-coal-fired-thermal-power-plant-1200mw" TargetMode="External"/><Relationship Id="rId46" Type="http://schemas.openxmlformats.org/officeDocument/2006/relationships/hyperlink" Target="http://www.sourcewatch.org/index.php/Salt_Range_power_station" TargetMode="External"/><Relationship Id="rId59" Type="http://schemas.openxmlformats.org/officeDocument/2006/relationships/hyperlink" Target="http://archive.newagebd.net/252773/rampal-payra-coal-fired-power-plants/" TargetMode="External"/><Relationship Id="rId67" Type="http://schemas.openxmlformats.org/officeDocument/2006/relationships/hyperlink" Target="http://www.sourcewatch.org/index.php/Tuzla_Thermal_Power_Plant" TargetMode="External"/><Relationship Id="rId103" Type="http://schemas.openxmlformats.org/officeDocument/2006/relationships/hyperlink" Target="https://www.google.com.tw/url?sa=t&amp;rct=j&amp;q=&amp;esrc=s&amp;source=web&amp;cd=6&amp;cad=rja&amp;uact=8&amp;ved=0ahUKEwjZ1ayG0OTUAhVL_4MKHdLdDQ0QFgg0MAU&amp;url=http%3A%2F%2Fwww.sourcewatch.org%2Findex.php%2FSanta_Mar%25C3%25ADa_power_station&amp;usg=AFQjCNHFh8svfEDxEoPJJ6UEQqVk-Ouwcw" TargetMode="External"/><Relationship Id="rId108" Type="http://schemas.openxmlformats.org/officeDocument/2006/relationships/printerSettings" Target="../printerSettings/printerSettings1.bin"/><Relationship Id="rId20" Type="http://schemas.openxmlformats.org/officeDocument/2006/relationships/hyperlink" Target="http://www.4-traders.com/POWER-CONSTRUCTION-CORP-O-9950512/news/Power-Construction-of-China-PCCC-joined-Indonesia-Coal-fired-Power-Plant-Started-23277097/" TargetMode="External"/><Relationship Id="rId41" Type="http://schemas.openxmlformats.org/officeDocument/2006/relationships/hyperlink" Target="https://www.tatapower.com/investor-relations/pdf/96Annual-Report-2014-15.pdf" TargetMode="External"/><Relationship Id="rId54" Type="http://schemas.openxmlformats.org/officeDocument/2006/relationships/hyperlink" Target="http://www.zpc.co.zw/projects/2/hwange-power-station-expansion" TargetMode="External"/><Relationship Id="rId62" Type="http://schemas.openxmlformats.org/officeDocument/2006/relationships/hyperlink" Target="https://ijglobal.com/articles/107078/jica-approves-six-bangladesh-loans-outlines-tender-schedule" TargetMode="External"/><Relationship Id="rId70" Type="http://schemas.openxmlformats.org/officeDocument/2006/relationships/hyperlink" Target="http://www.sourcewatch.org/index.php/Ayoun_Moussa_power_station" TargetMode="External"/><Relationship Id="rId75" Type="http://schemas.openxmlformats.org/officeDocument/2006/relationships/hyperlink" Target="https://ijglobal.com/data/transaction/32275/java-7-coal-fired-power-plant-2000mw-ppp" TargetMode="External"/><Relationship Id="rId83" Type="http://schemas.openxmlformats.org/officeDocument/2006/relationships/hyperlink" Target="https://ijglobal.com/data/transaction/36716/ayoun-moussa-coal-fired-power-plant-2460mw" TargetMode="External"/><Relationship Id="rId88" Type="http://schemas.openxmlformats.org/officeDocument/2006/relationships/hyperlink" Target="https://ijglobal.com/data/transaction/20234/lake-turkana-wind-farm-300mw" TargetMode="External"/><Relationship Id="rId91" Type="http://schemas.openxmlformats.org/officeDocument/2006/relationships/hyperlink" Target="https://ijglobal.com/data/transaction/19473/tees-renewable-energy-plant-299mw" TargetMode="External"/><Relationship Id="rId96" Type="http://schemas.openxmlformats.org/officeDocument/2006/relationships/hyperlink" Target="https://ijglobal.com/data/transaction/35706/maitree-coal-fired-power-power-plant-1320mw" TargetMode="External"/><Relationship Id="rId1" Type="http://schemas.openxmlformats.org/officeDocument/2006/relationships/hyperlink" Target="http://www.jica.go.jp/english/news/press/2014/150130_01.html" TargetMode="External"/><Relationship Id="rId6" Type="http://schemas.openxmlformats.org/officeDocument/2006/relationships/hyperlink" Target="https://ijglobal.com/data/transaction/31998/jamshoro-coal-fired-power-plant-expansion-1200mw" TargetMode="External"/><Relationship Id="rId15" Type="http://schemas.openxmlformats.org/officeDocument/2006/relationships/hyperlink" Target="https://ijglobal.com/articles/102113/samsung-cancels-1-320mw-kazakhstan-coal-fired" TargetMode="External"/><Relationship Id="rId23" Type="http://schemas.openxmlformats.org/officeDocument/2006/relationships/hyperlink" Target="http://www.miningmx.com/news/energy/28078-absa-take-stake-kibos-300mw-coal-power-project/" TargetMode="External"/><Relationship Id="rId28" Type="http://schemas.openxmlformats.org/officeDocument/2006/relationships/hyperlink" Target="https://ijglobal.com/data/transaction/36576/kalbar-2-power-plant-200mw-ppp" TargetMode="External"/><Relationship Id="rId36" Type="http://schemas.openxmlformats.org/officeDocument/2006/relationships/hyperlink" Target="http://www.sourcewatch.org/index.php/Aboano_power_station" TargetMode="External"/><Relationship Id="rId49" Type="http://schemas.openxmlformats.org/officeDocument/2006/relationships/hyperlink" Target="http://www.naftogaz.com/www/3/nakweben.nsf/0/222826C460B4DF3AC2257F9D00451F71?OpenDocument&amp;year=2016&amp;month=05&amp;nt=News&amp;" TargetMode="External"/><Relationship Id="rId57" Type="http://schemas.openxmlformats.org/officeDocument/2006/relationships/hyperlink" Target="https://ijglobal.com/data/transaction/36329/thar-coal-block-ii-mine" TargetMode="External"/><Relationship Id="rId106" Type="http://schemas.openxmlformats.org/officeDocument/2006/relationships/hyperlink" Target="https://ijglobal.com/data/transaction/27999/kiwano-solar-thermal-plant-100mw" TargetMode="External"/><Relationship Id="rId10" Type="http://schemas.openxmlformats.org/officeDocument/2006/relationships/hyperlink" Target="https://tradefinanceanalytics.com/data/transaction/50640/guangdong-guangxin-holdings-group" TargetMode="External"/><Relationship Id="rId31" Type="http://schemas.openxmlformats.org/officeDocument/2006/relationships/hyperlink" Target="http://bankwatch.org/our-work/projects/banovici-lignite-power-plant-bosnia-and-herzegovina" TargetMode="External"/><Relationship Id="rId44" Type="http://schemas.openxmlformats.org/officeDocument/2006/relationships/hyperlink" Target="http://www.sourcewatch.org/index.php/Keti_Bandar_power_station" TargetMode="External"/><Relationship Id="rId52" Type="http://schemas.openxmlformats.org/officeDocument/2006/relationships/hyperlink" Target="http://jakartaglobe.id/business/sinar-mas-energy-holding-pushes-ahead-coal-fired-power-plants/" TargetMode="External"/><Relationship Id="rId60" Type="http://schemas.openxmlformats.org/officeDocument/2006/relationships/hyperlink" Target="http://www.eximbank.gov.cn/tm/Newdetails/index.aspx?nodeid=343&amp;page=ContentPage&amp;categoryid=0&amp;contentid=29406" TargetMode="External"/><Relationship Id="rId65" Type="http://schemas.openxmlformats.org/officeDocument/2006/relationships/hyperlink" Target="https://ijglobal.com/data/transaction/28563" TargetMode="External"/><Relationship Id="rId73" Type="http://schemas.openxmlformats.org/officeDocument/2006/relationships/hyperlink" Target="http://www.jbic.go.jp/en/information/press/press-2016/1222-52286" TargetMode="External"/><Relationship Id="rId78" Type="http://schemas.openxmlformats.org/officeDocument/2006/relationships/hyperlink" Target="http://agenda.ge/news/42103/eng" TargetMode="External"/><Relationship Id="rId81" Type="http://schemas.openxmlformats.org/officeDocument/2006/relationships/hyperlink" Target="http://www.hkexnews.hk/listedco/listconews/SEHK/2015/1223/LTN20151223681.pdf" TargetMode="External"/><Relationship Id="rId86" Type="http://schemas.openxmlformats.org/officeDocument/2006/relationships/hyperlink" Target="https://ijglobal.com/articles/89159/pakistani-wind-project-receives-us-95-million-loan" TargetMode="External"/><Relationship Id="rId94" Type="http://schemas.openxmlformats.org/officeDocument/2006/relationships/hyperlink" Target="http://www.ipim.gov.mo/en/portuguese-speaking-countries-news/chinese-state-owned-enterprises-want-to-build-power-plant-in-brazil/" TargetMode="External"/><Relationship Id="rId99" Type="http://schemas.openxmlformats.org/officeDocument/2006/relationships/hyperlink" Target="https://ijglobal.com/data/transaction/38186/acwa-power-benban-solar-pv-portfolio-120mw" TargetMode="External"/><Relationship Id="rId101" Type="http://schemas.openxmlformats.org/officeDocument/2006/relationships/hyperlink" Target="https://ijglobal.com/data/transaction/34094/burnoye-solar" TargetMode="External"/><Relationship Id="rId4" Type="http://schemas.openxmlformats.org/officeDocument/2006/relationships/hyperlink" Target="http://www.reuters.com/article/public-power-cmec-memorandum-idUSL8N1BQ0NH" TargetMode="External"/><Relationship Id="rId9" Type="http://schemas.openxmlformats.org/officeDocument/2006/relationships/hyperlink" Target="http://www.baobinhthuan.com.vn/kinh-te/ky-ket-hop-dong-xay-dung-nha-may-nhiet-dien-vinh-tan-3-tri-gia-hon-1144-ty-usd-61213.html" TargetMode="External"/><Relationship Id="rId13" Type="http://schemas.openxmlformats.org/officeDocument/2006/relationships/hyperlink" Target="https://ijglobal.com/data/transaction/32622" TargetMode="External"/><Relationship Id="rId18" Type="http://schemas.openxmlformats.org/officeDocument/2006/relationships/hyperlink" Target="http://truyenhinhnghean.vn/kinh-te/201510/nha-may-nhiet-dien-quynh-lap-2-se-do-cong-ty-posco-enegy-dau-tu-xay-dung-645164/" TargetMode="External"/><Relationship Id="rId39" Type="http://schemas.openxmlformats.org/officeDocument/2006/relationships/hyperlink" Target="http://www.baobinhthuan.com.vn/kinh-te/ky-ket-hop-dong-xay-dung-nha-may-nhiet-dien-vinh-tan-3-tri-gia-hon-1144-ty-usd-61213.html" TargetMode="External"/><Relationship Id="rId109" Type="http://schemas.openxmlformats.org/officeDocument/2006/relationships/table" Target="../tables/table1.xml"/><Relationship Id="rId34" Type="http://schemas.openxmlformats.org/officeDocument/2006/relationships/hyperlink" Target="http://nation.com.pk/national/28-Jan-2017/certain-issues-need-to-be-streamlined" TargetMode="External"/><Relationship Id="rId50" Type="http://schemas.openxmlformats.org/officeDocument/2006/relationships/hyperlink" Target="http://www.sourcewatch.org/index.php/Kamwamba_power_station" TargetMode="External"/><Relationship Id="rId55" Type="http://schemas.openxmlformats.org/officeDocument/2006/relationships/hyperlink" Target="http://www.sourcewatch.org/index.php/Hwange_power_station" TargetMode="External"/><Relationship Id="rId76" Type="http://schemas.openxmlformats.org/officeDocument/2006/relationships/hyperlink" Target="http://www.powerengineeringint.com/articles/2016/02/doosan-heavy-wins-294m-coal-fired-power-project.html" TargetMode="External"/><Relationship Id="rId97" Type="http://schemas.openxmlformats.org/officeDocument/2006/relationships/hyperlink" Target="https://ijglobal.com/data/transaction/38186/acwa-power-benban-solar-pv-portfolio-120mw" TargetMode="External"/><Relationship Id="rId104" Type="http://schemas.openxmlformats.org/officeDocument/2006/relationships/hyperlink" Target="http://nation.com.pk/national/28-Jan-2017/certain-issues-need-to-be-streamlined" TargetMode="External"/><Relationship Id="rId7" Type="http://schemas.openxmlformats.org/officeDocument/2006/relationships/hyperlink" Target="https://ijglobal.com/data/transaction/31998/jamshoro-coal-fired-power-plant-expansion-1200mw" TargetMode="External"/><Relationship Id="rId71" Type="http://schemas.openxmlformats.org/officeDocument/2006/relationships/hyperlink" Target="http://www.sinosure.com.cn/sinosure/xwzx/xwgj/images/20160128/33262.pdf" TargetMode="External"/><Relationship Id="rId92" Type="http://schemas.openxmlformats.org/officeDocument/2006/relationships/hyperlink" Target="https://ijglobal.com/data/transaction/34346/tees-chp-biomass-plant-299m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3"/>
  <sheetViews>
    <sheetView tabSelected="1" topLeftCell="A72" workbookViewId="0">
      <selection activeCell="C3" sqref="C3"/>
    </sheetView>
  </sheetViews>
  <sheetFormatPr defaultRowHeight="15"/>
  <cols>
    <col min="1" max="1" width="67.5703125" style="3" customWidth="1"/>
    <col min="2" max="2" width="22.85546875" bestFit="1" customWidth="1"/>
    <col min="3" max="3" width="12.5703125" bestFit="1" customWidth="1"/>
    <col min="4" max="4" width="14" bestFit="1" customWidth="1"/>
    <col min="5" max="5" width="12" bestFit="1" customWidth="1"/>
    <col min="6" max="6" width="30.140625" bestFit="1" customWidth="1"/>
  </cols>
  <sheetData>
    <row r="1" spans="1:5">
      <c r="A1" s="5" t="s">
        <v>2032</v>
      </c>
      <c r="B1" s="2" t="s">
        <v>955</v>
      </c>
    </row>
    <row r="2" spans="1:5">
      <c r="A2" s="5" t="s">
        <v>2034</v>
      </c>
      <c r="B2" s="2" t="s">
        <v>955</v>
      </c>
    </row>
    <row r="3" spans="1:5">
      <c r="A3" s="5" t="s">
        <v>2036</v>
      </c>
      <c r="B3" s="2" t="s">
        <v>955</v>
      </c>
    </row>
    <row r="4" spans="1:5">
      <c r="A4" s="5" t="s">
        <v>2037</v>
      </c>
      <c r="B4" s="2" t="s">
        <v>955</v>
      </c>
    </row>
    <row r="5" spans="1:5">
      <c r="A5" s="5" t="s">
        <v>2035</v>
      </c>
      <c r="B5" s="28" t="s">
        <v>1435</v>
      </c>
    </row>
    <row r="7" spans="1:5" s="3" customFormat="1" ht="60">
      <c r="A7" s="5" t="s">
        <v>2033</v>
      </c>
      <c r="B7" s="3" t="s">
        <v>651</v>
      </c>
      <c r="C7" s="3" t="s">
        <v>2031</v>
      </c>
      <c r="D7" s="3" t="s">
        <v>1199</v>
      </c>
      <c r="E7" s="3" t="s">
        <v>1165</v>
      </c>
    </row>
    <row r="8" spans="1:5">
      <c r="A8" s="29" t="s">
        <v>86</v>
      </c>
      <c r="B8" s="30">
        <v>118830000</v>
      </c>
      <c r="C8" s="30">
        <v>275</v>
      </c>
      <c r="D8" s="30">
        <v>0.31297000127249996</v>
      </c>
      <c r="E8" s="30">
        <v>12.518800050899999</v>
      </c>
    </row>
    <row r="9" spans="1:5">
      <c r="A9" s="29" t="s">
        <v>1555</v>
      </c>
      <c r="B9" s="30">
        <v>63980000</v>
      </c>
      <c r="C9" s="30">
        <v>100</v>
      </c>
      <c r="D9" s="30">
        <v>0.11380727319</v>
      </c>
      <c r="E9" s="30">
        <v>4.5522909275999996</v>
      </c>
    </row>
    <row r="10" spans="1:5">
      <c r="A10" s="29" t="s">
        <v>1713</v>
      </c>
      <c r="B10" s="30">
        <v>54850000</v>
      </c>
      <c r="C10" s="30">
        <v>175</v>
      </c>
      <c r="D10" s="30">
        <v>0.19916272808249999</v>
      </c>
      <c r="E10" s="30">
        <v>7.9665091232999998</v>
      </c>
    </row>
    <row r="11" spans="1:5">
      <c r="A11" s="29" t="s">
        <v>97</v>
      </c>
      <c r="B11" s="30">
        <v>1900000000</v>
      </c>
      <c r="C11" s="30">
        <v>1320</v>
      </c>
      <c r="D11" s="30">
        <v>1.5022560061080001</v>
      </c>
      <c r="E11" s="30">
        <v>60.090240244320007</v>
      </c>
    </row>
    <row r="12" spans="1:5">
      <c r="A12" s="4" t="s">
        <v>831</v>
      </c>
      <c r="B12" s="30">
        <v>1900000000</v>
      </c>
      <c r="C12" s="30">
        <v>1320</v>
      </c>
      <c r="D12" s="30">
        <v>1.5022560061080001</v>
      </c>
      <c r="E12" s="30">
        <v>60.090240244320007</v>
      </c>
    </row>
    <row r="13" spans="1:5">
      <c r="A13" s="29" t="s">
        <v>1512</v>
      </c>
      <c r="B13" s="30">
        <v>647170000</v>
      </c>
      <c r="C13" s="30">
        <v>679</v>
      </c>
      <c r="D13" s="30">
        <v>0.77275138496009999</v>
      </c>
      <c r="E13" s="30">
        <v>30.910055398403998</v>
      </c>
    </row>
    <row r="14" spans="1:5">
      <c r="A14" s="4" t="s">
        <v>1624</v>
      </c>
      <c r="B14" s="30">
        <v>232890000</v>
      </c>
      <c r="C14" s="30">
        <v>370</v>
      </c>
      <c r="D14" s="30">
        <v>0.42108691080299998</v>
      </c>
      <c r="E14" s="30">
        <v>16.843476432119999</v>
      </c>
    </row>
    <row r="15" spans="1:5">
      <c r="A15" s="4" t="s">
        <v>1655</v>
      </c>
      <c r="B15" s="30">
        <v>414280000</v>
      </c>
      <c r="C15" s="30">
        <v>309</v>
      </c>
      <c r="D15" s="30">
        <v>0.3516644741571</v>
      </c>
      <c r="E15" s="30">
        <v>14.066578966283998</v>
      </c>
    </row>
    <row r="16" spans="1:5">
      <c r="A16" s="29" t="s">
        <v>123</v>
      </c>
      <c r="B16" s="30">
        <v>112190000</v>
      </c>
      <c r="C16" s="30">
        <v>150</v>
      </c>
      <c r="D16" s="30">
        <v>0.170710909785</v>
      </c>
      <c r="E16" s="30">
        <v>6.8284363913999995</v>
      </c>
    </row>
    <row r="17" spans="1:5">
      <c r="A17" s="4" t="s">
        <v>1509</v>
      </c>
      <c r="B17" s="30">
        <v>93020000</v>
      </c>
      <c r="C17" s="30">
        <v>100</v>
      </c>
      <c r="D17" s="30">
        <v>0.11380727319</v>
      </c>
      <c r="E17" s="30">
        <v>4.5522909275999996</v>
      </c>
    </row>
    <row r="18" spans="1:5">
      <c r="A18" s="4" t="s">
        <v>1677</v>
      </c>
      <c r="B18" s="30">
        <v>19170000</v>
      </c>
      <c r="C18" s="30">
        <v>50</v>
      </c>
      <c r="D18" s="30">
        <v>5.6903636595000001E-2</v>
      </c>
      <c r="E18" s="30">
        <v>2.2761454637999998</v>
      </c>
    </row>
    <row r="19" spans="1:5">
      <c r="A19" s="29" t="s">
        <v>20</v>
      </c>
      <c r="B19" s="30">
        <v>113920000</v>
      </c>
      <c r="C19" s="30">
        <v>208</v>
      </c>
      <c r="D19" s="30">
        <v>0.2367191282352</v>
      </c>
      <c r="E19" s="30">
        <v>9.4687651294079984</v>
      </c>
    </row>
    <row r="20" spans="1:5">
      <c r="A20" s="4" t="s">
        <v>1532</v>
      </c>
      <c r="B20" s="30">
        <v>49920000</v>
      </c>
      <c r="C20" s="30">
        <v>100</v>
      </c>
      <c r="D20" s="30">
        <v>0.11380727319</v>
      </c>
      <c r="E20" s="30">
        <v>4.5522909275999996</v>
      </c>
    </row>
    <row r="21" spans="1:5">
      <c r="A21" s="4" t="s">
        <v>1583</v>
      </c>
      <c r="B21" s="30">
        <v>64000000</v>
      </c>
      <c r="C21" s="30">
        <v>108</v>
      </c>
      <c r="D21" s="30">
        <v>0.1229118550452</v>
      </c>
      <c r="E21" s="30">
        <v>4.9164742018079997</v>
      </c>
    </row>
    <row r="22" spans="1:5">
      <c r="A22" s="29" t="s">
        <v>435</v>
      </c>
      <c r="B22" s="30">
        <v>0</v>
      </c>
      <c r="C22" s="30">
        <v>0</v>
      </c>
      <c r="D22" s="30">
        <v>0</v>
      </c>
      <c r="E22" s="30">
        <v>0</v>
      </c>
    </row>
    <row r="23" spans="1:5">
      <c r="A23" s="4" t="s">
        <v>434</v>
      </c>
      <c r="B23" s="30">
        <v>0</v>
      </c>
      <c r="C23" s="30">
        <v>0</v>
      </c>
      <c r="D23" s="30">
        <v>0</v>
      </c>
      <c r="E23" s="30">
        <v>0</v>
      </c>
    </row>
    <row r="24" spans="1:5">
      <c r="A24" s="29" t="s">
        <v>213</v>
      </c>
      <c r="B24" s="30">
        <v>76400000</v>
      </c>
      <c r="C24" s="30">
        <v>225</v>
      </c>
      <c r="D24" s="30">
        <v>0.25606636467749999</v>
      </c>
      <c r="E24" s="30">
        <v>10.242654587099999</v>
      </c>
    </row>
    <row r="25" spans="1:5">
      <c r="A25" s="29" t="s">
        <v>794</v>
      </c>
      <c r="B25" s="30">
        <v>76400000</v>
      </c>
      <c r="C25" s="30">
        <v>225</v>
      </c>
      <c r="D25" s="30">
        <v>0.25606636467749999</v>
      </c>
      <c r="E25" s="30">
        <v>10.242654587099999</v>
      </c>
    </row>
    <row r="26" spans="1:5">
      <c r="A26" s="29" t="s">
        <v>1648</v>
      </c>
      <c r="B26" s="30">
        <v>117700000</v>
      </c>
      <c r="C26" s="30">
        <v>200</v>
      </c>
      <c r="D26" s="30">
        <v>0.22761454638</v>
      </c>
      <c r="E26" s="30">
        <v>9.1045818551999993</v>
      </c>
    </row>
    <row r="27" spans="1:5">
      <c r="A27" s="4" t="s">
        <v>1647</v>
      </c>
      <c r="B27" s="30">
        <v>117700000</v>
      </c>
      <c r="C27" s="30">
        <v>200</v>
      </c>
      <c r="D27" s="30">
        <v>0.22761454638</v>
      </c>
      <c r="E27" s="30">
        <v>9.1045818551999993</v>
      </c>
    </row>
    <row r="28" spans="1:5">
      <c r="A28" s="29" t="s">
        <v>722</v>
      </c>
      <c r="B28" s="30">
        <v>24000000</v>
      </c>
      <c r="C28" s="30">
        <v>20.7</v>
      </c>
      <c r="D28" s="30">
        <v>2.355810555033E-2</v>
      </c>
      <c r="E28" s="30">
        <v>0.94232422201319999</v>
      </c>
    </row>
    <row r="29" spans="1:5">
      <c r="A29" s="4" t="s">
        <v>1546</v>
      </c>
      <c r="B29" s="30">
        <v>24000000</v>
      </c>
      <c r="C29" s="30">
        <v>20.7</v>
      </c>
      <c r="D29" s="30">
        <v>2.355810555033E-2</v>
      </c>
      <c r="E29" s="30">
        <v>0.94232422201319999</v>
      </c>
    </row>
    <row r="30" spans="1:5">
      <c r="A30" s="29" t="s">
        <v>26</v>
      </c>
      <c r="B30" s="30">
        <v>266400000</v>
      </c>
      <c r="C30" s="30">
        <v>98.7</v>
      </c>
      <c r="D30" s="30">
        <v>0.11232777863853002</v>
      </c>
      <c r="E30" s="30">
        <v>4.4931111455412012</v>
      </c>
    </row>
    <row r="31" spans="1:5">
      <c r="A31" s="29" t="s">
        <v>594</v>
      </c>
      <c r="B31" s="30">
        <v>175000000</v>
      </c>
      <c r="C31" s="30"/>
      <c r="D31" s="30">
        <v>0</v>
      </c>
      <c r="E31" s="30">
        <v>0</v>
      </c>
    </row>
    <row r="32" spans="1:5">
      <c r="A32" s="29" t="s">
        <v>593</v>
      </c>
      <c r="B32" s="30">
        <v>91400000</v>
      </c>
      <c r="C32" s="30">
        <v>98.7</v>
      </c>
      <c r="D32" s="30">
        <v>0.11232777863853002</v>
      </c>
      <c r="E32" s="30">
        <v>4.4931111455412012</v>
      </c>
    </row>
    <row r="33" spans="1:5">
      <c r="A33" s="29" t="s">
        <v>67</v>
      </c>
      <c r="B33" s="30">
        <v>5821800000</v>
      </c>
      <c r="C33" s="30">
        <v>4490</v>
      </c>
      <c r="D33" s="30">
        <v>5.1099465662310006</v>
      </c>
      <c r="E33" s="30">
        <v>204.39786264924001</v>
      </c>
    </row>
    <row r="34" spans="1:5">
      <c r="A34" s="4" t="s">
        <v>994</v>
      </c>
      <c r="B34" s="30">
        <v>3421000000</v>
      </c>
      <c r="C34" s="30">
        <v>2000</v>
      </c>
      <c r="D34" s="30">
        <v>2.2761454638000003</v>
      </c>
      <c r="E34" s="30">
        <v>91.045818552000014</v>
      </c>
    </row>
    <row r="35" spans="1:5">
      <c r="A35" s="4" t="s">
        <v>1152</v>
      </c>
      <c r="B35" s="30">
        <v>137500000</v>
      </c>
      <c r="C35" s="30">
        <v>100</v>
      </c>
      <c r="D35" s="30">
        <v>0.11380727319</v>
      </c>
      <c r="E35" s="30">
        <v>4.5522909275999996</v>
      </c>
    </row>
    <row r="36" spans="1:5">
      <c r="A36" s="4" t="s">
        <v>1128</v>
      </c>
      <c r="B36" s="30">
        <v>3000000</v>
      </c>
      <c r="C36" s="30">
        <v>0</v>
      </c>
      <c r="D36" s="30">
        <v>0</v>
      </c>
      <c r="E36" s="30">
        <v>0</v>
      </c>
    </row>
    <row r="37" spans="1:5">
      <c r="A37" s="4" t="s">
        <v>424</v>
      </c>
      <c r="B37" s="30">
        <v>316300000</v>
      </c>
      <c r="C37" s="30">
        <v>315</v>
      </c>
      <c r="D37" s="30">
        <v>0.35849291054850002</v>
      </c>
      <c r="E37" s="30">
        <v>14.33971642194</v>
      </c>
    </row>
    <row r="38" spans="1:5">
      <c r="A38" s="4" t="s">
        <v>432</v>
      </c>
      <c r="B38" s="30">
        <v>1800000000</v>
      </c>
      <c r="C38" s="30">
        <v>2000</v>
      </c>
      <c r="D38" s="30">
        <v>2.2761454638000003</v>
      </c>
      <c r="E38" s="30">
        <v>91.045818552000014</v>
      </c>
    </row>
    <row r="39" spans="1:5">
      <c r="A39" s="4" t="s">
        <v>798</v>
      </c>
      <c r="B39" s="30">
        <v>24000000</v>
      </c>
      <c r="C39" s="30">
        <v>0</v>
      </c>
      <c r="D39" s="30">
        <v>0</v>
      </c>
      <c r="E39" s="30">
        <v>0</v>
      </c>
    </row>
    <row r="40" spans="1:5">
      <c r="A40" s="29" t="s">
        <v>595</v>
      </c>
      <c r="B40" s="30">
        <v>120000000</v>
      </c>
      <c r="C40" s="30">
        <v>75</v>
      </c>
      <c r="D40" s="30">
        <v>8.5355454892500002E-2</v>
      </c>
      <c r="E40" s="30">
        <v>3.4142181957000002</v>
      </c>
    </row>
    <row r="41" spans="1:5">
      <c r="A41" s="29" t="s">
        <v>1640</v>
      </c>
      <c r="B41" s="30">
        <v>29610000</v>
      </c>
      <c r="C41" s="30">
        <v>29.1</v>
      </c>
      <c r="D41" s="30">
        <v>3.3117916498290004E-2</v>
      </c>
      <c r="E41" s="30">
        <v>1.3247166599316</v>
      </c>
    </row>
    <row r="42" spans="1:5">
      <c r="A42" s="4" t="s">
        <v>1662</v>
      </c>
      <c r="B42" s="30">
        <v>29610000</v>
      </c>
      <c r="C42" s="30">
        <v>29.1</v>
      </c>
      <c r="D42" s="30">
        <v>3.3117916498290004E-2</v>
      </c>
      <c r="E42" s="30">
        <v>1.3247166599316</v>
      </c>
    </row>
    <row r="43" spans="1:5">
      <c r="A43" s="29" t="s">
        <v>298</v>
      </c>
      <c r="B43" s="30">
        <v>18490000</v>
      </c>
      <c r="C43" s="30">
        <v>38.799999999999997</v>
      </c>
      <c r="D43" s="30">
        <v>4.415722199772E-2</v>
      </c>
      <c r="E43" s="30">
        <v>1.7662888799087999</v>
      </c>
    </row>
    <row r="44" spans="1:5">
      <c r="A44" s="4" t="s">
        <v>1520</v>
      </c>
      <c r="B44" s="30">
        <v>18490000</v>
      </c>
      <c r="C44" s="30">
        <v>38.799999999999997</v>
      </c>
      <c r="D44" s="30">
        <v>4.415722199772E-2</v>
      </c>
      <c r="E44" s="30">
        <v>1.7662888799087999</v>
      </c>
    </row>
    <row r="45" spans="1:5">
      <c r="A45" s="29" t="s">
        <v>1478</v>
      </c>
      <c r="B45" s="30">
        <v>202840000</v>
      </c>
      <c r="C45" s="30">
        <v>253.1</v>
      </c>
      <c r="D45" s="30">
        <v>0.28804620844389001</v>
      </c>
      <c r="E45" s="30">
        <v>11.5218483377556</v>
      </c>
    </row>
    <row r="46" spans="1:5">
      <c r="A46" s="4" t="s">
        <v>1600</v>
      </c>
      <c r="B46" s="30">
        <v>64000000</v>
      </c>
      <c r="C46" s="30">
        <v>89.1</v>
      </c>
      <c r="D46" s="30">
        <v>0.10140228041229001</v>
      </c>
      <c r="E46" s="30">
        <v>4.0560912164916001</v>
      </c>
    </row>
    <row r="47" spans="1:5">
      <c r="A47" s="4" t="s">
        <v>1492</v>
      </c>
      <c r="B47" s="30">
        <v>138840000</v>
      </c>
      <c r="C47" s="30">
        <v>164</v>
      </c>
      <c r="D47" s="30">
        <v>0.18664392803160001</v>
      </c>
      <c r="E47" s="30">
        <v>7.4657571212640006</v>
      </c>
    </row>
    <row r="48" spans="1:5">
      <c r="A48" s="29" t="s">
        <v>93</v>
      </c>
      <c r="B48" s="30">
        <v>0</v>
      </c>
      <c r="C48" s="30">
        <v>1320</v>
      </c>
      <c r="D48" s="30">
        <v>1.5022560061080001</v>
      </c>
      <c r="E48" s="30">
        <v>60.090240244320007</v>
      </c>
    </row>
    <row r="49" spans="1:5">
      <c r="A49" s="4" t="s">
        <v>775</v>
      </c>
      <c r="B49" s="30">
        <v>0</v>
      </c>
      <c r="C49" s="30">
        <v>1320</v>
      </c>
      <c r="D49" s="30">
        <v>1.5022560061080001</v>
      </c>
      <c r="E49" s="30">
        <v>60.090240244320007</v>
      </c>
    </row>
    <row r="50" spans="1:5">
      <c r="A50" s="29" t="s">
        <v>36</v>
      </c>
      <c r="B50" s="30">
        <v>90000000</v>
      </c>
      <c r="C50" s="30">
        <v>50</v>
      </c>
      <c r="D50" s="30">
        <v>5.6903636595000001E-2</v>
      </c>
      <c r="E50" s="30">
        <v>2.2761454637999998</v>
      </c>
    </row>
    <row r="51" spans="1:5">
      <c r="A51" s="4" t="s">
        <v>1705</v>
      </c>
      <c r="B51" s="30">
        <v>90000000</v>
      </c>
      <c r="C51" s="30">
        <v>50</v>
      </c>
      <c r="D51" s="30">
        <v>5.6903636595000001E-2</v>
      </c>
      <c r="E51" s="30">
        <v>2.2761454637999998</v>
      </c>
    </row>
    <row r="52" spans="1:5">
      <c r="A52" s="29" t="s">
        <v>1491</v>
      </c>
      <c r="B52" s="30">
        <v>128650000</v>
      </c>
      <c r="C52" s="30">
        <v>1000</v>
      </c>
      <c r="D52" s="30">
        <v>1.1380727319000001</v>
      </c>
      <c r="E52" s="30">
        <v>45.522909276000007</v>
      </c>
    </row>
    <row r="53" spans="1:5">
      <c r="A53" s="4" t="s">
        <v>1490</v>
      </c>
      <c r="B53" s="30">
        <v>128650000</v>
      </c>
      <c r="C53" s="30">
        <v>1000</v>
      </c>
      <c r="D53" s="30">
        <v>1.1380727319000001</v>
      </c>
      <c r="E53" s="30">
        <v>45.522909276000007</v>
      </c>
    </row>
    <row r="54" spans="1:5">
      <c r="A54" s="29" t="s">
        <v>78</v>
      </c>
      <c r="B54" s="30">
        <v>556360000</v>
      </c>
      <c r="C54" s="30">
        <v>860</v>
      </c>
      <c r="D54" s="30">
        <v>0.97874254943400008</v>
      </c>
      <c r="E54" s="30">
        <v>39.14970197736001</v>
      </c>
    </row>
    <row r="55" spans="1:5">
      <c r="A55" s="4" t="s">
        <v>902</v>
      </c>
      <c r="B55" s="30">
        <v>207000000</v>
      </c>
      <c r="C55" s="30">
        <v>660</v>
      </c>
      <c r="D55" s="30">
        <v>0.75112800305400007</v>
      </c>
      <c r="E55" s="30">
        <v>30.045120122160004</v>
      </c>
    </row>
    <row r="56" spans="1:5">
      <c r="A56" s="4" t="s">
        <v>1513</v>
      </c>
      <c r="B56" s="30">
        <v>97700000</v>
      </c>
      <c r="C56" s="30">
        <v>50</v>
      </c>
      <c r="D56" s="30">
        <v>5.6903636595000001E-2</v>
      </c>
      <c r="E56" s="30">
        <v>2.2761454637999998</v>
      </c>
    </row>
    <row r="57" spans="1:5">
      <c r="A57" s="29" t="s">
        <v>591</v>
      </c>
      <c r="B57" s="30">
        <v>185000000</v>
      </c>
      <c r="C57" s="30">
        <v>150</v>
      </c>
      <c r="D57" s="30">
        <v>0.170710909785</v>
      </c>
      <c r="E57" s="30">
        <v>6.8284363914000004</v>
      </c>
    </row>
    <row r="58" spans="1:5">
      <c r="A58" s="29" t="s">
        <v>430</v>
      </c>
      <c r="B58" s="30">
        <v>66660000</v>
      </c>
      <c r="C58" s="30">
        <v>0</v>
      </c>
      <c r="D58" s="30">
        <v>0</v>
      </c>
      <c r="E58" s="30">
        <v>0</v>
      </c>
    </row>
    <row r="59" spans="1:5">
      <c r="A59" s="29" t="s">
        <v>1488</v>
      </c>
      <c r="B59" s="30">
        <v>50800000</v>
      </c>
      <c r="C59" s="30">
        <v>40.9</v>
      </c>
      <c r="D59" s="30">
        <v>4.6547174734709998E-2</v>
      </c>
      <c r="E59" s="30">
        <v>1.8618869893883998</v>
      </c>
    </row>
    <row r="60" spans="1:5">
      <c r="A60" s="4" t="s">
        <v>1608</v>
      </c>
      <c r="B60" s="30">
        <v>21800000</v>
      </c>
      <c r="C60" s="30">
        <v>19.600000000000001</v>
      </c>
      <c r="D60" s="30">
        <v>2.2306225545240001E-2</v>
      </c>
      <c r="E60" s="30">
        <v>0.89224902180960008</v>
      </c>
    </row>
    <row r="61" spans="1:5">
      <c r="A61" s="4" t="s">
        <v>1487</v>
      </c>
      <c r="B61" s="30">
        <v>29000000</v>
      </c>
      <c r="C61" s="30">
        <v>21.299999999999997</v>
      </c>
      <c r="D61" s="30">
        <v>2.4240949189469993E-2</v>
      </c>
      <c r="E61" s="30">
        <v>0.96963796757879972</v>
      </c>
    </row>
    <row r="62" spans="1:5">
      <c r="A62" s="29" t="s">
        <v>27</v>
      </c>
      <c r="B62" s="30">
        <v>161010000</v>
      </c>
      <c r="C62" s="30">
        <v>70</v>
      </c>
      <c r="D62" s="30">
        <v>7.9665091233000002E-2</v>
      </c>
      <c r="E62" s="30">
        <v>3.1866036493200003</v>
      </c>
    </row>
    <row r="63" spans="1:5">
      <c r="A63" s="4" t="s">
        <v>1616</v>
      </c>
      <c r="B63" s="30">
        <v>161010000</v>
      </c>
      <c r="C63" s="30">
        <v>70</v>
      </c>
      <c r="D63" s="30">
        <v>7.9665091233000002E-2</v>
      </c>
      <c r="E63" s="30">
        <v>3.1866036493200003</v>
      </c>
    </row>
    <row r="64" spans="1:5">
      <c r="A64" s="29" t="s">
        <v>33</v>
      </c>
      <c r="B64" s="30">
        <v>37120000</v>
      </c>
      <c r="C64" s="30">
        <v>30</v>
      </c>
      <c r="D64" s="30">
        <v>3.4142181957000008E-2</v>
      </c>
      <c r="E64" s="30">
        <v>1.3656872782800002</v>
      </c>
    </row>
    <row r="65" spans="1:5">
      <c r="A65" s="4" t="s">
        <v>1696</v>
      </c>
      <c r="B65" s="30">
        <v>37120000</v>
      </c>
      <c r="C65" s="30">
        <v>30</v>
      </c>
      <c r="D65" s="30">
        <v>3.4142181957000008E-2</v>
      </c>
      <c r="E65" s="30">
        <v>1.3656872782800002</v>
      </c>
    </row>
    <row r="66" spans="1:5">
      <c r="A66" s="29" t="s">
        <v>31</v>
      </c>
      <c r="B66" s="30">
        <v>122010000</v>
      </c>
      <c r="C66" s="30">
        <v>100</v>
      </c>
      <c r="D66" s="30">
        <v>0.11380727319</v>
      </c>
      <c r="E66" s="30">
        <v>4.5522909275999996</v>
      </c>
    </row>
    <row r="67" spans="1:5">
      <c r="A67" s="4" t="s">
        <v>1569</v>
      </c>
      <c r="B67" s="30">
        <v>122010000</v>
      </c>
      <c r="C67" s="30">
        <v>100</v>
      </c>
      <c r="D67" s="30">
        <v>0.11380727319</v>
      </c>
      <c r="E67" s="30">
        <v>4.5522909275999996</v>
      </c>
    </row>
    <row r="68" spans="1:5">
      <c r="A68" s="29" t="s">
        <v>1381</v>
      </c>
      <c r="B68" s="30"/>
      <c r="C68" s="30">
        <v>0</v>
      </c>
      <c r="D68" s="30">
        <v>0</v>
      </c>
      <c r="E68" s="30">
        <v>0</v>
      </c>
    </row>
    <row r="69" spans="1:5">
      <c r="A69" s="4" t="s">
        <v>745</v>
      </c>
      <c r="B69" s="30"/>
      <c r="C69" s="30">
        <v>0</v>
      </c>
      <c r="D69" s="30">
        <v>0</v>
      </c>
      <c r="E69" s="30">
        <v>0</v>
      </c>
    </row>
    <row r="70" spans="1:5">
      <c r="A70" s="29" t="s">
        <v>1589</v>
      </c>
      <c r="B70" s="30">
        <v>10700000</v>
      </c>
      <c r="C70" s="30">
        <v>10</v>
      </c>
      <c r="D70" s="30">
        <v>1.1380727318999998E-2</v>
      </c>
      <c r="E70" s="30">
        <v>0.45522909275999995</v>
      </c>
    </row>
    <row r="71" spans="1:5">
      <c r="A71" s="4" t="s">
        <v>1676</v>
      </c>
      <c r="B71" s="30">
        <v>10700000</v>
      </c>
      <c r="C71" s="30">
        <v>10</v>
      </c>
      <c r="D71" s="30">
        <v>1.1380727318999998E-2</v>
      </c>
      <c r="E71" s="30">
        <v>0.45522909275999995</v>
      </c>
    </row>
    <row r="72" spans="1:5">
      <c r="A72" s="29" t="s">
        <v>1552</v>
      </c>
      <c r="B72" s="30">
        <v>127800000</v>
      </c>
      <c r="C72" s="30">
        <v>480</v>
      </c>
      <c r="D72" s="30">
        <v>0.54627491131200012</v>
      </c>
      <c r="E72" s="30">
        <v>21.850996452480004</v>
      </c>
    </row>
    <row r="73" spans="1:5">
      <c r="A73" s="4" t="s">
        <v>702</v>
      </c>
      <c r="B73" s="30">
        <v>127800000</v>
      </c>
      <c r="C73" s="30">
        <v>480</v>
      </c>
      <c r="D73" s="30">
        <v>0.54627491131200012</v>
      </c>
      <c r="E73" s="30">
        <v>21.850996452480004</v>
      </c>
    </row>
    <row r="74" spans="1:5">
      <c r="A74" s="29" t="s">
        <v>392</v>
      </c>
      <c r="B74" s="30">
        <v>1128750000</v>
      </c>
      <c r="C74" s="30">
        <v>1331</v>
      </c>
      <c r="D74" s="30">
        <v>1.5147748061589001</v>
      </c>
      <c r="E74" s="30">
        <v>60.590992246356016</v>
      </c>
    </row>
    <row r="75" spans="1:5">
      <c r="A75" s="4" t="s">
        <v>1507</v>
      </c>
      <c r="B75" s="30">
        <v>852990000</v>
      </c>
      <c r="C75" s="30">
        <v>588</v>
      </c>
      <c r="D75" s="30">
        <v>0.66918676635720009</v>
      </c>
      <c r="E75" s="30">
        <v>26.767470654288008</v>
      </c>
    </row>
    <row r="76" spans="1:5">
      <c r="A76" s="4" t="s">
        <v>1528</v>
      </c>
      <c r="B76" s="30">
        <v>108150000</v>
      </c>
      <c r="C76" s="30">
        <v>402</v>
      </c>
      <c r="D76" s="30">
        <v>0.45750523822380001</v>
      </c>
      <c r="E76" s="30">
        <v>18.300209528951999</v>
      </c>
    </row>
    <row r="77" spans="1:5">
      <c r="A77" s="4" t="s">
        <v>1586</v>
      </c>
      <c r="B77" s="30">
        <v>23590000</v>
      </c>
      <c r="C77" s="30">
        <v>42</v>
      </c>
      <c r="D77" s="30">
        <v>4.77990547398E-2</v>
      </c>
      <c r="E77" s="30">
        <v>1.911962189592</v>
      </c>
    </row>
    <row r="78" spans="1:5">
      <c r="A78" s="4" t="s">
        <v>1692</v>
      </c>
      <c r="B78" s="30">
        <v>144020000</v>
      </c>
      <c r="C78" s="30">
        <v>299</v>
      </c>
      <c r="D78" s="30">
        <v>0.34028374683810009</v>
      </c>
      <c r="E78" s="30">
        <v>13.611349873524004</v>
      </c>
    </row>
    <row r="79" spans="1:5">
      <c r="A79" s="29" t="s">
        <v>1466</v>
      </c>
      <c r="B79" s="30">
        <v>97500000</v>
      </c>
      <c r="C79" s="30">
        <v>158.80000000000001</v>
      </c>
      <c r="D79" s="30">
        <v>0.18072594982572004</v>
      </c>
      <c r="E79" s="30">
        <v>7.2290379930288022</v>
      </c>
    </row>
    <row r="80" spans="1:5">
      <c r="A80" s="4" t="s">
        <v>1607</v>
      </c>
      <c r="B80" s="30">
        <v>12500000</v>
      </c>
      <c r="C80" s="30">
        <v>19</v>
      </c>
      <c r="D80" s="30">
        <v>2.1623381906100001E-2</v>
      </c>
      <c r="E80" s="30">
        <v>0.86493527624400002</v>
      </c>
    </row>
    <row r="81" spans="1:5">
      <c r="A81" s="4" t="s">
        <v>1674</v>
      </c>
      <c r="B81" s="30">
        <v>85000000</v>
      </c>
      <c r="C81" s="30">
        <v>139.80000000000001</v>
      </c>
      <c r="D81" s="30">
        <v>0.15910256791962005</v>
      </c>
      <c r="E81" s="30">
        <v>6.3641027167848021</v>
      </c>
    </row>
    <row r="82" spans="1:5">
      <c r="A82" s="29" t="s">
        <v>98</v>
      </c>
      <c r="B82" s="30">
        <v>1057000000</v>
      </c>
      <c r="C82" s="30">
        <v>1200</v>
      </c>
      <c r="D82" s="30">
        <v>1.36568727828</v>
      </c>
      <c r="E82" s="30">
        <v>54.627491131200003</v>
      </c>
    </row>
    <row r="83" spans="1:5">
      <c r="A83" s="4" t="s">
        <v>597</v>
      </c>
      <c r="B83" s="30">
        <v>70000000</v>
      </c>
      <c r="C83" s="30"/>
      <c r="D83" s="30">
        <v>0</v>
      </c>
      <c r="E83" s="30">
        <v>0</v>
      </c>
    </row>
    <row r="84" spans="1:5">
      <c r="A84" s="4" t="s">
        <v>914</v>
      </c>
      <c r="B84" s="30">
        <v>987000000</v>
      </c>
      <c r="C84" s="30">
        <v>1200</v>
      </c>
      <c r="D84" s="30">
        <v>1.36568727828</v>
      </c>
      <c r="E84" s="30">
        <v>54.627491131200003</v>
      </c>
    </row>
    <row r="85" spans="1:5">
      <c r="A85" s="29" t="s">
        <v>650</v>
      </c>
      <c r="B85" s="30">
        <v>13017050000</v>
      </c>
      <c r="C85" s="30">
        <v>14638.1</v>
      </c>
      <c r="D85" s="30">
        <v>16.65922245682539</v>
      </c>
      <c r="E85" s="30">
        <v>666.3688982730157</v>
      </c>
    </row>
    <row r="86" spans="1:5">
      <c r="A86"/>
    </row>
    <row r="87" spans="1:5">
      <c r="A87"/>
    </row>
    <row r="88" spans="1:5">
      <c r="A88"/>
    </row>
    <row r="89" spans="1:5">
      <c r="A89"/>
    </row>
    <row r="90" spans="1:5">
      <c r="A90"/>
    </row>
    <row r="91" spans="1:5">
      <c r="A91"/>
    </row>
    <row r="92" spans="1:5">
      <c r="A92"/>
    </row>
    <row r="93" spans="1:5">
      <c r="A93"/>
    </row>
    <row r="94" spans="1:5">
      <c r="A94"/>
    </row>
    <row r="95" spans="1:5">
      <c r="A95"/>
    </row>
    <row r="96" spans="1:5">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row r="584" spans="1:1">
      <c r="A584"/>
    </row>
    <row r="585" spans="1:1">
      <c r="A585"/>
    </row>
    <row r="586" spans="1:1">
      <c r="A586"/>
    </row>
    <row r="587" spans="1:1">
      <c r="A587"/>
    </row>
    <row r="588" spans="1:1">
      <c r="A588"/>
    </row>
    <row r="589" spans="1:1">
      <c r="A589"/>
    </row>
    <row r="590" spans="1:1">
      <c r="A590"/>
    </row>
    <row r="591" spans="1:1">
      <c r="A591"/>
    </row>
    <row r="592" spans="1:1">
      <c r="A592"/>
    </row>
    <row r="593" spans="1:1">
      <c r="A593"/>
    </row>
    <row r="594" spans="1:1">
      <c r="A594"/>
    </row>
    <row r="595" spans="1:1">
      <c r="A595"/>
    </row>
    <row r="596" spans="1:1">
      <c r="A596"/>
    </row>
    <row r="597" spans="1:1">
      <c r="A597"/>
    </row>
    <row r="598" spans="1:1">
      <c r="A598"/>
    </row>
    <row r="599" spans="1:1">
      <c r="A599"/>
    </row>
    <row r="600" spans="1:1">
      <c r="A600"/>
    </row>
    <row r="601" spans="1:1">
      <c r="A601"/>
    </row>
    <row r="602" spans="1:1">
      <c r="A602"/>
    </row>
    <row r="603" spans="1:1">
      <c r="A603"/>
    </row>
    <row r="604" spans="1:1">
      <c r="A604"/>
    </row>
    <row r="605" spans="1:1">
      <c r="A605"/>
    </row>
    <row r="606" spans="1:1">
      <c r="A606"/>
    </row>
    <row r="607" spans="1:1">
      <c r="A607"/>
    </row>
    <row r="608" spans="1:1">
      <c r="A608"/>
    </row>
    <row r="609" spans="1:1">
      <c r="A609"/>
    </row>
    <row r="610" spans="1:1">
      <c r="A610"/>
    </row>
    <row r="611" spans="1:1">
      <c r="A611"/>
    </row>
    <row r="612" spans="1:1">
      <c r="A612"/>
    </row>
    <row r="613" spans="1:1">
      <c r="A613"/>
    </row>
    <row r="614" spans="1:1">
      <c r="A614"/>
    </row>
    <row r="615" spans="1:1">
      <c r="A615"/>
    </row>
    <row r="616" spans="1:1">
      <c r="A616"/>
    </row>
    <row r="617" spans="1:1">
      <c r="A617"/>
    </row>
    <row r="618" spans="1:1">
      <c r="A618"/>
    </row>
    <row r="619" spans="1:1">
      <c r="A619"/>
    </row>
    <row r="620" spans="1:1">
      <c r="A620"/>
    </row>
    <row r="621" spans="1:1">
      <c r="A621"/>
    </row>
    <row r="622" spans="1:1">
      <c r="A622"/>
    </row>
    <row r="623" spans="1:1">
      <c r="A623"/>
    </row>
    <row r="624" spans="1:1">
      <c r="A624"/>
    </row>
    <row r="625" spans="1:1">
      <c r="A625"/>
    </row>
    <row r="626" spans="1:1">
      <c r="A626"/>
    </row>
    <row r="627" spans="1:1">
      <c r="A627"/>
    </row>
    <row r="628" spans="1:1">
      <c r="A628"/>
    </row>
    <row r="629" spans="1:1">
      <c r="A629"/>
    </row>
    <row r="630" spans="1:1">
      <c r="A630"/>
    </row>
    <row r="631" spans="1:1">
      <c r="A631"/>
    </row>
    <row r="632" spans="1:1">
      <c r="A632"/>
    </row>
    <row r="633" spans="1:1">
      <c r="A6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897"/>
  <sheetViews>
    <sheetView zoomScale="70" zoomScaleNormal="70" workbookViewId="0">
      <selection activeCell="A155" sqref="A155"/>
    </sheetView>
  </sheetViews>
  <sheetFormatPr defaultColWidth="15.85546875" defaultRowHeight="33.75" customHeight="1"/>
  <cols>
    <col min="1" max="1" width="15.85546875" style="17"/>
    <col min="2" max="2" width="15.85546875" customWidth="1"/>
    <col min="3" max="3" width="15.85546875" style="17"/>
    <col min="4" max="4" width="32.5703125" style="34" bestFit="1" customWidth="1"/>
    <col min="5" max="5" width="15.85546875" style="22"/>
    <col min="6" max="7" width="15.85546875" style="16"/>
    <col min="8" max="8" width="32.85546875" style="19" customWidth="1"/>
    <col min="9" max="9" width="22.5703125" style="16" customWidth="1"/>
    <col min="10" max="10" width="36.42578125" style="32" bestFit="1" customWidth="1"/>
    <col min="11" max="11" width="15.85546875" style="23"/>
    <col min="12" max="12" width="15.85546875" style="16"/>
    <col min="13" max="13" width="15.85546875" style="7"/>
    <col min="14" max="14" width="15.85546875" style="8"/>
    <col min="15" max="16" width="15.85546875" style="7"/>
    <col min="17" max="17" width="15.85546875" style="16"/>
    <col min="18" max="19" width="15.85546875" style="7"/>
    <col min="20" max="20" width="15.85546875" style="19"/>
    <col min="21" max="21" width="15.85546875" style="16"/>
    <col min="22" max="22" width="15.85546875" style="7"/>
    <col min="23" max="23" width="15.85546875" style="21"/>
    <col min="24" max="24" width="15.85546875" style="16"/>
    <col min="25" max="25" width="15.85546875" style="7"/>
    <col min="28" max="16384" width="15.85546875" style="1"/>
  </cols>
  <sheetData>
    <row r="1" spans="1:27" ht="56.25" customHeight="1">
      <c r="A1" s="10" t="s">
        <v>0</v>
      </c>
      <c r="B1" s="10" t="s">
        <v>1</v>
      </c>
      <c r="C1" s="10" t="s">
        <v>2</v>
      </c>
      <c r="D1" s="33" t="s">
        <v>3</v>
      </c>
      <c r="E1" s="9" t="s">
        <v>4</v>
      </c>
      <c r="F1" s="9" t="s">
        <v>163</v>
      </c>
      <c r="G1" s="9" t="s">
        <v>1455</v>
      </c>
      <c r="H1" s="13" t="s">
        <v>5</v>
      </c>
      <c r="I1" s="11" t="s">
        <v>1021</v>
      </c>
      <c r="J1" s="31" t="s">
        <v>703</v>
      </c>
      <c r="K1" s="12" t="s">
        <v>988</v>
      </c>
      <c r="L1" s="9" t="s">
        <v>627</v>
      </c>
      <c r="M1" s="9" t="s">
        <v>810</v>
      </c>
      <c r="N1" s="13" t="s">
        <v>8</v>
      </c>
      <c r="O1" s="10" t="s">
        <v>866</v>
      </c>
      <c r="P1" s="10" t="s">
        <v>867</v>
      </c>
      <c r="Q1" s="9" t="s">
        <v>6</v>
      </c>
      <c r="R1" s="9" t="s">
        <v>7</v>
      </c>
      <c r="S1" s="13" t="s">
        <v>940</v>
      </c>
      <c r="T1" s="14" t="s">
        <v>2029</v>
      </c>
      <c r="U1" s="15" t="s">
        <v>9</v>
      </c>
      <c r="V1" s="14" t="s">
        <v>10</v>
      </c>
      <c r="W1" s="14" t="s">
        <v>11</v>
      </c>
      <c r="X1" s="14" t="s">
        <v>647</v>
      </c>
      <c r="Y1" s="9" t="s">
        <v>12</v>
      </c>
      <c r="Z1" s="1"/>
      <c r="AA1" s="1"/>
    </row>
    <row r="2" spans="1:27" ht="90" hidden="1" customHeight="1">
      <c r="A2" t="s">
        <v>13</v>
      </c>
      <c r="B2" t="s">
        <v>28</v>
      </c>
      <c r="C2" t="s">
        <v>14</v>
      </c>
      <c r="D2" s="6">
        <v>199784.4106421624</v>
      </c>
      <c r="E2" t="s">
        <v>47</v>
      </c>
      <c r="F2"/>
      <c r="G2"/>
      <c r="H2" t="s">
        <v>48</v>
      </c>
      <c r="I2"/>
      <c r="J2" s="28">
        <v>42064</v>
      </c>
      <c r="K2" t="s">
        <v>1482</v>
      </c>
      <c r="L2" t="s">
        <v>49</v>
      </c>
      <c r="M2"/>
      <c r="N2" t="s">
        <v>50</v>
      </c>
      <c r="O2" t="s">
        <v>51</v>
      </c>
      <c r="P2"/>
      <c r="Q2" t="s">
        <v>17</v>
      </c>
      <c r="R2" t="s">
        <v>18</v>
      </c>
      <c r="S2" t="s">
        <v>703</v>
      </c>
      <c r="T2"/>
      <c r="U2" s="2">
        <f>Table1[[#This Row],[Coal Power Plant Size (MW) or Share]]*0.593*9057*211.9*10^(-9)</f>
        <v>0</v>
      </c>
      <c r="V2" s="2">
        <f>Table1[[#This Row],[Annual Emissions (MMTCO2)]]*40</f>
        <v>0</v>
      </c>
      <c r="W2"/>
      <c r="X2"/>
      <c r="Y2"/>
      <c r="Z2" s="1"/>
      <c r="AA2" s="1"/>
    </row>
    <row r="3" spans="1:27" ht="27" hidden="1" customHeight="1">
      <c r="A3" t="s">
        <v>13</v>
      </c>
      <c r="B3" t="s">
        <v>28</v>
      </c>
      <c r="C3" t="s">
        <v>14</v>
      </c>
      <c r="D3" s="6">
        <v>1123787.3098621636</v>
      </c>
      <c r="E3" t="s">
        <v>30</v>
      </c>
      <c r="F3"/>
      <c r="G3"/>
      <c r="H3" t="s">
        <v>52</v>
      </c>
      <c r="I3" t="s">
        <v>53</v>
      </c>
      <c r="J3" s="28">
        <v>42359</v>
      </c>
      <c r="K3" t="s">
        <v>1482</v>
      </c>
      <c r="L3" t="s">
        <v>31</v>
      </c>
      <c r="M3"/>
      <c r="N3" t="s">
        <v>56</v>
      </c>
      <c r="O3" t="s">
        <v>57</v>
      </c>
      <c r="P3"/>
      <c r="Q3" t="s">
        <v>54</v>
      </c>
      <c r="R3" t="s">
        <v>55</v>
      </c>
      <c r="S3" t="s">
        <v>703</v>
      </c>
      <c r="T3"/>
      <c r="U3" s="2">
        <f>Table1[[#This Row],[Coal Power Plant Size (MW) or Share]]*0.593*9057*211.9*10^(-9)</f>
        <v>0</v>
      </c>
      <c r="V3" s="2">
        <f>Table1[[#This Row],[Annual Emissions (MMTCO2)]]*40</f>
        <v>0</v>
      </c>
      <c r="W3"/>
      <c r="X3"/>
      <c r="Y3"/>
      <c r="Z3" s="1"/>
      <c r="AA3" s="1"/>
    </row>
    <row r="4" spans="1:27" ht="27" hidden="1" customHeight="1">
      <c r="A4" t="s">
        <v>86</v>
      </c>
      <c r="B4" t="s">
        <v>99</v>
      </c>
      <c r="C4" t="s">
        <v>1465</v>
      </c>
      <c r="D4" s="6">
        <v>21220000</v>
      </c>
      <c r="E4" t="s">
        <v>116</v>
      </c>
      <c r="F4"/>
      <c r="G4"/>
      <c r="H4" t="s">
        <v>100</v>
      </c>
      <c r="I4"/>
      <c r="J4" s="28">
        <v>41640</v>
      </c>
      <c r="K4" t="s">
        <v>1400</v>
      </c>
      <c r="L4" t="s">
        <v>117</v>
      </c>
      <c r="M4"/>
      <c r="N4" t="s">
        <v>119</v>
      </c>
      <c r="O4" t="s">
        <v>120</v>
      </c>
      <c r="P4"/>
      <c r="Q4" t="s">
        <v>37</v>
      </c>
      <c r="R4" t="s">
        <v>118</v>
      </c>
      <c r="S4" t="s">
        <v>703</v>
      </c>
      <c r="T4"/>
      <c r="U4" s="2">
        <f>Table1[[#This Row],[Coal Power Plant Size (MW) or Share]]*0.593*9057*211.9*10^(-9)</f>
        <v>0</v>
      </c>
      <c r="V4" s="2">
        <f>Table1[[#This Row],[Annual Emissions (MMTCO2)]]*40</f>
        <v>0</v>
      </c>
      <c r="W4"/>
      <c r="X4"/>
      <c r="Y4"/>
      <c r="Z4" s="1"/>
      <c r="AA4" s="1"/>
    </row>
    <row r="5" spans="1:27" ht="27" hidden="1" customHeight="1">
      <c r="A5" t="s">
        <v>86</v>
      </c>
      <c r="B5" t="s">
        <v>821</v>
      </c>
      <c r="C5" t="s">
        <v>126</v>
      </c>
      <c r="D5" s="6">
        <v>1000000000</v>
      </c>
      <c r="E5" t="s">
        <v>714</v>
      </c>
      <c r="F5"/>
      <c r="G5"/>
      <c r="H5" t="s">
        <v>823</v>
      </c>
      <c r="I5" t="s">
        <v>822</v>
      </c>
      <c r="J5" s="28">
        <v>54789</v>
      </c>
      <c r="K5" t="s">
        <v>1130</v>
      </c>
      <c r="L5" t="s">
        <v>86</v>
      </c>
      <c r="M5" t="s">
        <v>713</v>
      </c>
      <c r="N5" t="s">
        <v>715</v>
      </c>
      <c r="O5" t="s">
        <v>824</v>
      </c>
      <c r="P5"/>
      <c r="Q5" t="s">
        <v>37</v>
      </c>
      <c r="R5" t="s">
        <v>283</v>
      </c>
      <c r="S5" t="s">
        <v>476</v>
      </c>
      <c r="T5">
        <v>0</v>
      </c>
      <c r="U5" s="2">
        <f>Table1[[#This Row],[Coal Power Plant Size (MW) or Share]]*0.593*9057*211.9*10^(-9)</f>
        <v>0</v>
      </c>
      <c r="V5" s="2">
        <f>Table1[[#This Row],[Annual Emissions (MMTCO2)]]*40</f>
        <v>0</v>
      </c>
      <c r="W5"/>
      <c r="X5"/>
      <c r="Y5"/>
      <c r="Z5" s="1"/>
      <c r="AA5" s="1"/>
    </row>
    <row r="6" spans="1:27" ht="27" hidden="1" customHeight="1">
      <c r="A6" t="s">
        <v>86</v>
      </c>
      <c r="B6" t="s">
        <v>99</v>
      </c>
      <c r="C6" t="s">
        <v>1465</v>
      </c>
      <c r="D6" s="6">
        <v>36020445</v>
      </c>
      <c r="E6" t="s">
        <v>108</v>
      </c>
      <c r="F6"/>
      <c r="G6"/>
      <c r="H6" t="s">
        <v>108</v>
      </c>
      <c r="I6"/>
      <c r="J6" s="28">
        <v>41275</v>
      </c>
      <c r="K6" t="s">
        <v>1400</v>
      </c>
      <c r="L6" t="s">
        <v>109</v>
      </c>
      <c r="M6"/>
      <c r="N6" t="s">
        <v>114</v>
      </c>
      <c r="O6" t="s">
        <v>101</v>
      </c>
      <c r="P6"/>
      <c r="Q6" t="s">
        <v>54</v>
      </c>
      <c r="R6" t="s">
        <v>58</v>
      </c>
      <c r="S6" t="s">
        <v>703</v>
      </c>
      <c r="T6"/>
      <c r="U6" s="2">
        <f>Table1[[#This Row],[Coal Power Plant Size (MW) or Share]]*0.593*9057*211.9*10^(-9)</f>
        <v>0</v>
      </c>
      <c r="V6" s="2">
        <f>Table1[[#This Row],[Annual Emissions (MMTCO2)]]*40</f>
        <v>0</v>
      </c>
      <c r="W6"/>
      <c r="X6"/>
      <c r="Y6"/>
      <c r="Z6" s="1"/>
      <c r="AA6" s="1"/>
    </row>
    <row r="7" spans="1:27" ht="27" hidden="1" customHeight="1">
      <c r="A7" t="s">
        <v>86</v>
      </c>
      <c r="B7" t="s">
        <v>99</v>
      </c>
      <c r="C7" t="s">
        <v>1465</v>
      </c>
      <c r="D7" s="6">
        <v>26781000</v>
      </c>
      <c r="E7" t="s">
        <v>121</v>
      </c>
      <c r="F7"/>
      <c r="G7"/>
      <c r="H7" t="s">
        <v>121</v>
      </c>
      <c r="I7"/>
      <c r="J7" s="28">
        <v>41275</v>
      </c>
      <c r="K7" t="s">
        <v>1400</v>
      </c>
      <c r="L7" t="s">
        <v>109</v>
      </c>
      <c r="M7"/>
      <c r="N7" t="s">
        <v>122</v>
      </c>
      <c r="O7" t="s">
        <v>101</v>
      </c>
      <c r="P7"/>
      <c r="Q7" t="s">
        <v>54</v>
      </c>
      <c r="R7" t="s">
        <v>58</v>
      </c>
      <c r="S7" t="s">
        <v>703</v>
      </c>
      <c r="T7"/>
      <c r="U7" s="2">
        <f>Table1[[#This Row],[Coal Power Plant Size (MW) or Share]]*0.593*9057*211.9*10^(-9)</f>
        <v>0</v>
      </c>
      <c r="V7" s="2">
        <f>Table1[[#This Row],[Annual Emissions (MMTCO2)]]*40</f>
        <v>0</v>
      </c>
      <c r="W7"/>
      <c r="X7"/>
      <c r="Y7"/>
      <c r="Z7" s="1"/>
      <c r="AA7" s="1"/>
    </row>
    <row r="8" spans="1:27" ht="27" hidden="1" customHeight="1">
      <c r="A8" t="s">
        <v>86</v>
      </c>
      <c r="B8" t="s">
        <v>99</v>
      </c>
      <c r="C8" t="s">
        <v>1465</v>
      </c>
      <c r="D8" s="6">
        <v>35261650</v>
      </c>
      <c r="E8" t="s">
        <v>113</v>
      </c>
      <c r="F8"/>
      <c r="G8"/>
      <c r="H8" t="s">
        <v>113</v>
      </c>
      <c r="I8"/>
      <c r="J8" s="28">
        <v>41275</v>
      </c>
      <c r="K8" t="s">
        <v>1400</v>
      </c>
      <c r="L8" t="s">
        <v>109</v>
      </c>
      <c r="M8"/>
      <c r="N8" t="s">
        <v>115</v>
      </c>
      <c r="O8" t="s">
        <v>101</v>
      </c>
      <c r="P8"/>
      <c r="Q8" t="s">
        <v>54</v>
      </c>
      <c r="R8" t="s">
        <v>58</v>
      </c>
      <c r="S8" t="s">
        <v>703</v>
      </c>
      <c r="T8"/>
      <c r="U8" s="2">
        <f>Table1[[#This Row],[Coal Power Plant Size (MW) or Share]]*0.593*9057*211.9*10^(-9)</f>
        <v>0</v>
      </c>
      <c r="V8" s="2">
        <f>Table1[[#This Row],[Annual Emissions (MMTCO2)]]*40</f>
        <v>0</v>
      </c>
      <c r="W8"/>
      <c r="X8"/>
      <c r="Y8"/>
      <c r="Z8" s="1"/>
      <c r="AA8" s="1"/>
    </row>
    <row r="9" spans="1:27" ht="27" hidden="1" customHeight="1">
      <c r="A9" t="s">
        <v>86</v>
      </c>
      <c r="B9" t="s">
        <v>92</v>
      </c>
      <c r="C9" t="s">
        <v>14</v>
      </c>
      <c r="D9" s="6">
        <v>2023013.8552251642</v>
      </c>
      <c r="E9" t="s">
        <v>102</v>
      </c>
      <c r="F9"/>
      <c r="G9"/>
      <c r="H9" t="s">
        <v>103</v>
      </c>
      <c r="I9" t="s">
        <v>84</v>
      </c>
      <c r="J9" s="28">
        <v>42278</v>
      </c>
      <c r="K9" t="s">
        <v>992</v>
      </c>
      <c r="L9" t="s">
        <v>104</v>
      </c>
      <c r="M9"/>
      <c r="N9" t="s">
        <v>105</v>
      </c>
      <c r="O9" t="s">
        <v>106</v>
      </c>
      <c r="P9"/>
      <c r="Q9" t="s">
        <v>54</v>
      </c>
      <c r="R9" t="s">
        <v>55</v>
      </c>
      <c r="S9" t="s">
        <v>703</v>
      </c>
      <c r="T9"/>
      <c r="U9" s="2">
        <f>Table1[[#This Row],[Coal Power Plant Size (MW) or Share]]*0.593*9057*211.9*10^(-9)</f>
        <v>0</v>
      </c>
      <c r="V9" s="2">
        <f>Table1[[#This Row],[Annual Emissions (MMTCO2)]]*40</f>
        <v>0</v>
      </c>
      <c r="W9"/>
      <c r="X9"/>
      <c r="Y9"/>
      <c r="Z9" s="1"/>
      <c r="AA9" s="1"/>
    </row>
    <row r="10" spans="1:27" ht="27" hidden="1" customHeight="1">
      <c r="A10" t="s">
        <v>86</v>
      </c>
      <c r="B10" t="s">
        <v>1751</v>
      </c>
      <c r="C10" t="s">
        <v>126</v>
      </c>
      <c r="D10" s="6">
        <v>33580000</v>
      </c>
      <c r="E10"/>
      <c r="F10"/>
      <c r="G10"/>
      <c r="H10" t="s">
        <v>1688</v>
      </c>
      <c r="I10" t="s">
        <v>1790</v>
      </c>
      <c r="J10" s="28">
        <v>41488</v>
      </c>
      <c r="K10" t="s">
        <v>1130</v>
      </c>
      <c r="L10" t="s">
        <v>86</v>
      </c>
      <c r="M10" t="s">
        <v>1689</v>
      </c>
      <c r="N10"/>
      <c r="O10"/>
      <c r="P10"/>
      <c r="Q10" t="s">
        <v>634</v>
      </c>
      <c r="R10" t="s">
        <v>636</v>
      </c>
      <c r="S10" t="s">
        <v>703</v>
      </c>
      <c r="T10">
        <v>106.8</v>
      </c>
      <c r="U10" s="2">
        <f>Table1[[#This Row],[Coal Power Plant Size (MW) or Share]]*0.593*9057*211.9*10^(-9)</f>
        <v>0.12154616776692</v>
      </c>
      <c r="V10" s="2">
        <f>Table1[[#This Row],[Annual Emissions (MMTCO2)]]*40</f>
        <v>4.8618467106768</v>
      </c>
      <c r="W10"/>
      <c r="X10">
        <v>106.8</v>
      </c>
      <c r="Y10"/>
      <c r="Z10" s="1"/>
      <c r="AA10" s="1"/>
    </row>
    <row r="11" spans="1:27" ht="27" hidden="1" customHeight="1">
      <c r="A11" t="s">
        <v>86</v>
      </c>
      <c r="B11" t="s">
        <v>1751</v>
      </c>
      <c r="C11" t="s">
        <v>126</v>
      </c>
      <c r="D11" s="6">
        <v>48360000</v>
      </c>
      <c r="E11"/>
      <c r="F11"/>
      <c r="G11"/>
      <c r="H11" t="s">
        <v>1499</v>
      </c>
      <c r="I11" t="s">
        <v>1760</v>
      </c>
      <c r="J11" s="28">
        <v>42347</v>
      </c>
      <c r="K11" t="s">
        <v>1130</v>
      </c>
      <c r="L11" t="s">
        <v>86</v>
      </c>
      <c r="M11" t="s">
        <v>1500</v>
      </c>
      <c r="N11"/>
      <c r="O11"/>
      <c r="P11"/>
      <c r="Q11" t="s">
        <v>634</v>
      </c>
      <c r="R11" t="s">
        <v>1469</v>
      </c>
      <c r="S11" t="s">
        <v>703</v>
      </c>
      <c r="T11">
        <f>240/2</f>
        <v>120</v>
      </c>
      <c r="U11" s="2">
        <f>Table1[[#This Row],[Coal Power Plant Size (MW) or Share]]*0.593*9057*211.9*10^(-9)</f>
        <v>0.13656872782800003</v>
      </c>
      <c r="V11" s="2">
        <f>Table1[[#This Row],[Annual Emissions (MMTCO2)]]*40</f>
        <v>5.462749113120001</v>
      </c>
      <c r="W11"/>
      <c r="X11">
        <f>240/2</f>
        <v>120</v>
      </c>
      <c r="Y11"/>
      <c r="Z11" s="1"/>
      <c r="AA11" s="1"/>
    </row>
    <row r="12" spans="1:27" ht="27" hidden="1" customHeight="1">
      <c r="A12" t="s">
        <v>1738</v>
      </c>
      <c r="B12" t="s">
        <v>1739</v>
      </c>
      <c r="C12" t="s">
        <v>126</v>
      </c>
      <c r="D12" s="6">
        <v>25000000</v>
      </c>
      <c r="E12"/>
      <c r="F12"/>
      <c r="G12"/>
      <c r="H12" t="s">
        <v>1637</v>
      </c>
      <c r="I12" t="s">
        <v>1802</v>
      </c>
      <c r="J12" s="28">
        <v>42002</v>
      </c>
      <c r="K12" t="s">
        <v>990</v>
      </c>
      <c r="L12" t="s">
        <v>1488</v>
      </c>
      <c r="M12"/>
      <c r="N12"/>
      <c r="O12"/>
      <c r="P12"/>
      <c r="Q12" t="s">
        <v>634</v>
      </c>
      <c r="R12" t="s">
        <v>636</v>
      </c>
      <c r="S12" t="s">
        <v>703</v>
      </c>
      <c r="T12">
        <f>215/4</f>
        <v>53.75</v>
      </c>
      <c r="U12" s="2">
        <f>Table1[[#This Row],[Coal Power Plant Size (MW) or Share]]*0.593*9057*211.9*10^(-9)</f>
        <v>6.1171409339624998E-2</v>
      </c>
      <c r="V12" s="2">
        <f>Table1[[#This Row],[Annual Emissions (MMTCO2)]]*40</f>
        <v>2.4468563735849997</v>
      </c>
      <c r="W12"/>
      <c r="X12">
        <f>215/4</f>
        <v>53.75</v>
      </c>
      <c r="Y12"/>
      <c r="Z12" s="1"/>
      <c r="AA12" s="1"/>
    </row>
    <row r="13" spans="1:27" ht="27" hidden="1" customHeight="1">
      <c r="A13" t="s">
        <v>1738</v>
      </c>
      <c r="B13" t="s">
        <v>1739</v>
      </c>
      <c r="C13" t="s">
        <v>126</v>
      </c>
      <c r="D13" s="6">
        <v>25000000</v>
      </c>
      <c r="E13"/>
      <c r="F13"/>
      <c r="G13"/>
      <c r="H13" t="s">
        <v>1706</v>
      </c>
      <c r="I13" t="s">
        <v>1849</v>
      </c>
      <c r="J13" s="28">
        <v>42167</v>
      </c>
      <c r="K13" t="s">
        <v>990</v>
      </c>
      <c r="L13" t="s">
        <v>1503</v>
      </c>
      <c r="M13"/>
      <c r="N13"/>
      <c r="O13"/>
      <c r="P13"/>
      <c r="Q13" t="s">
        <v>634</v>
      </c>
      <c r="R13" t="s">
        <v>635</v>
      </c>
      <c r="S13" t="s">
        <v>703</v>
      </c>
      <c r="T13">
        <v>70</v>
      </c>
      <c r="U13" s="2">
        <f>Table1[[#This Row],[Coal Power Plant Size (MW) or Share]]*0.593*9057*211.9*10^(-9)</f>
        <v>7.9665091233000015E-2</v>
      </c>
      <c r="V13" s="2">
        <f>Table1[[#This Row],[Annual Emissions (MMTCO2)]]*40</f>
        <v>3.1866036493200007</v>
      </c>
      <c r="W13"/>
      <c r="X13">
        <v>70</v>
      </c>
      <c r="Y13"/>
      <c r="Z13" s="1"/>
      <c r="AA13" s="1"/>
    </row>
    <row r="14" spans="1:27" ht="27" hidden="1" customHeight="1">
      <c r="A14" t="s">
        <v>1512</v>
      </c>
      <c r="B14" t="s">
        <v>1720</v>
      </c>
      <c r="C14" t="s">
        <v>126</v>
      </c>
      <c r="D14" s="6">
        <v>18560000</v>
      </c>
      <c r="E14"/>
      <c r="F14"/>
      <c r="G14"/>
      <c r="H14" t="s">
        <v>1696</v>
      </c>
      <c r="I14" t="s">
        <v>1949</v>
      </c>
      <c r="J14" s="28">
        <v>42710</v>
      </c>
      <c r="K14" t="s">
        <v>1482</v>
      </c>
      <c r="L14" t="s">
        <v>33</v>
      </c>
      <c r="M14"/>
      <c r="N14"/>
      <c r="O14"/>
      <c r="P14"/>
      <c r="Q14" t="s">
        <v>634</v>
      </c>
      <c r="R14" t="s">
        <v>635</v>
      </c>
      <c r="S14" t="s">
        <v>703</v>
      </c>
      <c r="T14">
        <f>30/2</f>
        <v>15</v>
      </c>
      <c r="U14" s="2">
        <f>Table1[[#This Row],[Coal Power Plant Size (MW) or Share]]*0.593*9057*211.9*10^(-9)</f>
        <v>1.7071090978500004E-2</v>
      </c>
      <c r="V14" s="2">
        <f>Table1[[#This Row],[Annual Emissions (MMTCO2)]]*40</f>
        <v>0.68284363914000012</v>
      </c>
      <c r="W14"/>
      <c r="X14">
        <f>30/2</f>
        <v>15</v>
      </c>
      <c r="Y14"/>
      <c r="Z14" s="1"/>
      <c r="AA14" s="1"/>
    </row>
    <row r="15" spans="1:27" ht="27" hidden="1" customHeight="1">
      <c r="A15" t="s">
        <v>1512</v>
      </c>
      <c r="B15" t="s">
        <v>1720</v>
      </c>
      <c r="C15" t="s">
        <v>126</v>
      </c>
      <c r="D15" s="6">
        <v>17800000</v>
      </c>
      <c r="E15"/>
      <c r="F15"/>
      <c r="G15"/>
      <c r="H15" t="s">
        <v>1587</v>
      </c>
      <c r="I15" t="s">
        <v>1858</v>
      </c>
      <c r="J15" s="28">
        <v>54789</v>
      </c>
      <c r="K15" t="s">
        <v>989</v>
      </c>
      <c r="L15" t="s">
        <v>1567</v>
      </c>
      <c r="M15"/>
      <c r="N15"/>
      <c r="O15"/>
      <c r="P15"/>
      <c r="Q15" t="s">
        <v>634</v>
      </c>
      <c r="R15" t="s">
        <v>640</v>
      </c>
      <c r="S15" t="s">
        <v>476</v>
      </c>
      <c r="T15">
        <f>82/3</f>
        <v>27.333333333333332</v>
      </c>
      <c r="U15" s="2">
        <f>Table1[[#This Row],[Coal Power Plant Size (MW) or Share]]*0.593*9057*211.9*10^(-9)</f>
        <v>3.1107321338600002E-2</v>
      </c>
      <c r="V15" s="2">
        <f>Table1[[#This Row],[Annual Emissions (MMTCO2)]]*40</f>
        <v>1.2442928535440001</v>
      </c>
      <c r="W15"/>
      <c r="X15">
        <f>82/3</f>
        <v>27.333333333333332</v>
      </c>
      <c r="Y15"/>
      <c r="Z15" s="1"/>
      <c r="AA15" s="1"/>
    </row>
    <row r="16" spans="1:27" ht="27" hidden="1" customHeight="1">
      <c r="A16" t="s">
        <v>25</v>
      </c>
      <c r="B16" t="s">
        <v>28</v>
      </c>
      <c r="C16" t="s">
        <v>14</v>
      </c>
      <c r="D16" s="6">
        <v>753544.074194349</v>
      </c>
      <c r="E16" t="s">
        <v>47</v>
      </c>
      <c r="F16"/>
      <c r="G16"/>
      <c r="H16" t="s">
        <v>48</v>
      </c>
      <c r="I16"/>
      <c r="J16" s="28">
        <v>42064</v>
      </c>
      <c r="K16" t="s">
        <v>1482</v>
      </c>
      <c r="L16" t="s">
        <v>49</v>
      </c>
      <c r="M16"/>
      <c r="N16" t="s">
        <v>50</v>
      </c>
      <c r="O16" t="s">
        <v>51</v>
      </c>
      <c r="P16"/>
      <c r="Q16" t="s">
        <v>17</v>
      </c>
      <c r="R16" t="s">
        <v>18</v>
      </c>
      <c r="S16" t="s">
        <v>703</v>
      </c>
      <c r="T16"/>
      <c r="U16" s="2">
        <f>Table1[[#This Row],[Coal Power Plant Size (MW) or Share]]*0.593*9057*211.9*10^(-9)</f>
        <v>0</v>
      </c>
      <c r="V16" s="2">
        <f>Table1[[#This Row],[Annual Emissions (MMTCO2)]]*40</f>
        <v>0</v>
      </c>
      <c r="W16"/>
      <c r="X16"/>
      <c r="Y16"/>
      <c r="Z16" s="1"/>
      <c r="AA16" s="1"/>
    </row>
    <row r="17" spans="1:27" ht="27" hidden="1" customHeight="1">
      <c r="A17" t="s">
        <v>25</v>
      </c>
      <c r="B17" t="s">
        <v>28</v>
      </c>
      <c r="C17" t="s">
        <v>14</v>
      </c>
      <c r="D17" s="6">
        <v>4238685.4173432132</v>
      </c>
      <c r="E17" t="s">
        <v>30</v>
      </c>
      <c r="F17"/>
      <c r="G17"/>
      <c r="H17" t="s">
        <v>52</v>
      </c>
      <c r="I17" t="s">
        <v>53</v>
      </c>
      <c r="J17" s="28">
        <v>42359</v>
      </c>
      <c r="K17" t="s">
        <v>1482</v>
      </c>
      <c r="L17" t="s">
        <v>31</v>
      </c>
      <c r="M17"/>
      <c r="N17" t="s">
        <v>56</v>
      </c>
      <c r="O17" t="s">
        <v>57</v>
      </c>
      <c r="P17"/>
      <c r="Q17" t="s">
        <v>54</v>
      </c>
      <c r="R17" t="s">
        <v>55</v>
      </c>
      <c r="S17" t="s">
        <v>703</v>
      </c>
      <c r="T17"/>
      <c r="U17" s="2">
        <f>Table1[[#This Row],[Coal Power Plant Size (MW) or Share]]*0.593*9057*211.9*10^(-9)</f>
        <v>0</v>
      </c>
      <c r="V17" s="2">
        <f>Table1[[#This Row],[Annual Emissions (MMTCO2)]]*40</f>
        <v>0</v>
      </c>
      <c r="W17"/>
      <c r="X17"/>
      <c r="Y17"/>
      <c r="Z17" s="1"/>
      <c r="AA17" s="1"/>
    </row>
    <row r="18" spans="1:27" ht="27" hidden="1" customHeight="1">
      <c r="A18" t="s">
        <v>123</v>
      </c>
      <c r="B18" t="s">
        <v>28</v>
      </c>
      <c r="C18" t="s">
        <v>14</v>
      </c>
      <c r="D18" s="6">
        <v>7613199.8473834787</v>
      </c>
      <c r="E18" t="s">
        <v>47</v>
      </c>
      <c r="F18"/>
      <c r="G18"/>
      <c r="H18" t="s">
        <v>48</v>
      </c>
      <c r="I18"/>
      <c r="J18" s="28">
        <v>42064</v>
      </c>
      <c r="K18" t="s">
        <v>1482</v>
      </c>
      <c r="L18" t="s">
        <v>49</v>
      </c>
      <c r="M18"/>
      <c r="N18" t="s">
        <v>50</v>
      </c>
      <c r="O18" t="s">
        <v>51</v>
      </c>
      <c r="P18"/>
      <c r="Q18" t="s">
        <v>17</v>
      </c>
      <c r="R18" t="s">
        <v>18</v>
      </c>
      <c r="S18" t="s">
        <v>703</v>
      </c>
      <c r="T18"/>
      <c r="U18" s="2">
        <f>Table1[[#This Row],[Coal Power Plant Size (MW) or Share]]*0.593*9057*211.9*10^(-9)</f>
        <v>0</v>
      </c>
      <c r="V18" s="2">
        <f>Table1[[#This Row],[Annual Emissions (MMTCO2)]]*40</f>
        <v>0</v>
      </c>
      <c r="W18"/>
      <c r="X18"/>
      <c r="Y18"/>
      <c r="Z18" s="1"/>
      <c r="AA18" s="1"/>
    </row>
    <row r="19" spans="1:27" ht="27" hidden="1" customHeight="1">
      <c r="A19" t="s">
        <v>123</v>
      </c>
      <c r="B19" t="s">
        <v>92</v>
      </c>
      <c r="C19" t="s">
        <v>14</v>
      </c>
      <c r="D19" s="6">
        <v>6878341.471042607</v>
      </c>
      <c r="E19" t="s">
        <v>102</v>
      </c>
      <c r="F19"/>
      <c r="G19"/>
      <c r="H19" t="s">
        <v>103</v>
      </c>
      <c r="I19" t="s">
        <v>84</v>
      </c>
      <c r="J19" s="28">
        <v>42278</v>
      </c>
      <c r="K19" t="s">
        <v>992</v>
      </c>
      <c r="L19" t="s">
        <v>104</v>
      </c>
      <c r="M19"/>
      <c r="N19" t="s">
        <v>105</v>
      </c>
      <c r="O19" t="s">
        <v>106</v>
      </c>
      <c r="P19"/>
      <c r="Q19" t="s">
        <v>54</v>
      </c>
      <c r="R19" t="s">
        <v>55</v>
      </c>
      <c r="S19" t="s">
        <v>703</v>
      </c>
      <c r="T19"/>
      <c r="U19" s="2">
        <f>Table1[[#This Row],[Coal Power Plant Size (MW) or Share]]*0.593*9057*211.9*10^(-9)</f>
        <v>0</v>
      </c>
      <c r="V19" s="2">
        <f>Table1[[#This Row],[Annual Emissions (MMTCO2)]]*40</f>
        <v>0</v>
      </c>
      <c r="W19"/>
      <c r="X19"/>
      <c r="Y19"/>
      <c r="Z19" s="1"/>
      <c r="AA19" s="1"/>
    </row>
    <row r="20" spans="1:27" ht="27" hidden="1" customHeight="1">
      <c r="A20" t="s">
        <v>123</v>
      </c>
      <c r="B20" t="s">
        <v>28</v>
      </c>
      <c r="C20" t="s">
        <v>14</v>
      </c>
      <c r="D20" s="6">
        <v>42824249.141532063</v>
      </c>
      <c r="E20" t="s">
        <v>30</v>
      </c>
      <c r="F20"/>
      <c r="G20"/>
      <c r="H20" t="s">
        <v>52</v>
      </c>
      <c r="I20" t="s">
        <v>53</v>
      </c>
      <c r="J20" s="28">
        <v>42359</v>
      </c>
      <c r="K20" t="s">
        <v>1482</v>
      </c>
      <c r="L20" t="s">
        <v>31</v>
      </c>
      <c r="M20"/>
      <c r="N20" t="s">
        <v>56</v>
      </c>
      <c r="O20" t="s">
        <v>57</v>
      </c>
      <c r="P20"/>
      <c r="Q20" t="s">
        <v>54</v>
      </c>
      <c r="R20" t="s">
        <v>55</v>
      </c>
      <c r="S20" t="s">
        <v>703</v>
      </c>
      <c r="T20"/>
      <c r="U20" s="2">
        <f>Table1[[#This Row],[Coal Power Plant Size (MW) or Share]]*0.593*9057*211.9*10^(-9)</f>
        <v>0</v>
      </c>
      <c r="V20" s="2">
        <f>Table1[[#This Row],[Annual Emissions (MMTCO2)]]*40</f>
        <v>0</v>
      </c>
      <c r="W20"/>
      <c r="X20"/>
      <c r="Y20"/>
      <c r="Z20" s="1"/>
      <c r="AA20" s="1"/>
    </row>
    <row r="21" spans="1:27" ht="27" hidden="1" customHeight="1">
      <c r="A21" t="s">
        <v>123</v>
      </c>
      <c r="B21" t="s">
        <v>567</v>
      </c>
      <c r="C21" t="s">
        <v>126</v>
      </c>
      <c r="D21" s="6">
        <v>20700000</v>
      </c>
      <c r="E21"/>
      <c r="F21"/>
      <c r="G21"/>
      <c r="H21" t="s">
        <v>1644</v>
      </c>
      <c r="I21" t="s">
        <v>1784</v>
      </c>
      <c r="J21" s="28">
        <v>41485</v>
      </c>
      <c r="K21" t="s">
        <v>990</v>
      </c>
      <c r="L21" t="s">
        <v>20</v>
      </c>
      <c r="M21"/>
      <c r="N21"/>
      <c r="O21"/>
      <c r="P21"/>
      <c r="Q21" t="s">
        <v>634</v>
      </c>
      <c r="R21" t="s">
        <v>635</v>
      </c>
      <c r="S21" t="s">
        <v>703</v>
      </c>
      <c r="T21">
        <f>26.1/2</f>
        <v>13.05</v>
      </c>
      <c r="U21" s="2">
        <f>Table1[[#This Row],[Coal Power Plant Size (MW) or Share]]*0.593*9057*211.9*10^(-9)</f>
        <v>1.4851849151294999E-2</v>
      </c>
      <c r="V21" s="2">
        <f>Table1[[#This Row],[Annual Emissions (MMTCO2)]]*40</f>
        <v>0.59407396605179996</v>
      </c>
      <c r="W21"/>
      <c r="X21">
        <f>26.1/2</f>
        <v>13.05</v>
      </c>
      <c r="Y21"/>
      <c r="Z21" s="1"/>
      <c r="AA21" s="1"/>
    </row>
    <row r="22" spans="1:27" ht="27" hidden="1" customHeight="1">
      <c r="A22" t="s">
        <v>123</v>
      </c>
      <c r="B22" t="s">
        <v>1748</v>
      </c>
      <c r="C22" t="s">
        <v>2030</v>
      </c>
      <c r="D22" s="6">
        <v>123400000</v>
      </c>
      <c r="E22"/>
      <c r="F22"/>
      <c r="G22"/>
      <c r="H22" t="s">
        <v>1468</v>
      </c>
      <c r="I22" t="s">
        <v>1804</v>
      </c>
      <c r="J22" s="28">
        <v>41774</v>
      </c>
      <c r="K22" t="s">
        <v>992</v>
      </c>
      <c r="L22" t="s">
        <v>649</v>
      </c>
      <c r="M22"/>
      <c r="N22"/>
      <c r="O22"/>
      <c r="P22"/>
      <c r="Q22" t="s">
        <v>634</v>
      </c>
      <c r="R22" t="s">
        <v>1469</v>
      </c>
      <c r="S22" t="s">
        <v>703</v>
      </c>
      <c r="T22">
        <f>600/3</f>
        <v>200</v>
      </c>
      <c r="U22" s="2">
        <f>Table1[[#This Row],[Coal Power Plant Size (MW) or Share]]*0.593*9057*211.9*10^(-9)</f>
        <v>0.22761454638</v>
      </c>
      <c r="V22" s="2">
        <f>Table1[[#This Row],[Annual Emissions (MMTCO2)]]*40</f>
        <v>9.1045818551999993</v>
      </c>
      <c r="W22"/>
      <c r="X22">
        <f>600/3</f>
        <v>200</v>
      </c>
      <c r="Y22"/>
      <c r="Z22" s="1"/>
      <c r="AA22" s="1"/>
    </row>
    <row r="23" spans="1:27" ht="27" hidden="1" customHeight="1">
      <c r="A23" t="s">
        <v>123</v>
      </c>
      <c r="B23" t="s">
        <v>1748</v>
      </c>
      <c r="C23" t="s">
        <v>2030</v>
      </c>
      <c r="D23" s="6">
        <v>53180000</v>
      </c>
      <c r="E23"/>
      <c r="F23"/>
      <c r="G23"/>
      <c r="H23" t="s">
        <v>1639</v>
      </c>
      <c r="I23" t="s">
        <v>1859</v>
      </c>
      <c r="J23" s="28">
        <v>41872</v>
      </c>
      <c r="K23" t="s">
        <v>992</v>
      </c>
      <c r="L23" t="s">
        <v>1640</v>
      </c>
      <c r="M23"/>
      <c r="N23"/>
      <c r="O23"/>
      <c r="P23"/>
      <c r="Q23" t="s">
        <v>634</v>
      </c>
      <c r="R23" t="s">
        <v>636</v>
      </c>
      <c r="S23" t="s">
        <v>703</v>
      </c>
      <c r="T23"/>
      <c r="U23" s="2">
        <f>Table1[[#This Row],[Coal Power Plant Size (MW) or Share]]*0.593*9057*211.9*10^(-9)</f>
        <v>0</v>
      </c>
      <c r="V23" s="2">
        <f>Table1[[#This Row],[Annual Emissions (MMTCO2)]]*40</f>
        <v>0</v>
      </c>
      <c r="W23"/>
      <c r="X23"/>
      <c r="Y23"/>
      <c r="Z23" s="1"/>
      <c r="AA23" s="1"/>
    </row>
    <row r="24" spans="1:27" ht="27" hidden="1" customHeight="1">
      <c r="A24" t="s">
        <v>123</v>
      </c>
      <c r="B24" t="s">
        <v>1748</v>
      </c>
      <c r="C24" t="s">
        <v>2030</v>
      </c>
      <c r="D24" s="6">
        <v>89150000</v>
      </c>
      <c r="E24"/>
      <c r="F24"/>
      <c r="G24"/>
      <c r="H24" t="s">
        <v>1623</v>
      </c>
      <c r="I24" t="s">
        <v>1863</v>
      </c>
      <c r="J24" s="28">
        <v>42082</v>
      </c>
      <c r="K24" t="s">
        <v>992</v>
      </c>
      <c r="L24" t="s">
        <v>200</v>
      </c>
      <c r="M24"/>
      <c r="N24"/>
      <c r="O24"/>
      <c r="P24"/>
      <c r="Q24" t="s">
        <v>634</v>
      </c>
      <c r="R24" t="s">
        <v>1469</v>
      </c>
      <c r="S24" t="s">
        <v>703</v>
      </c>
      <c r="T24">
        <f>332/2</f>
        <v>166</v>
      </c>
      <c r="U24" s="2">
        <f>Table1[[#This Row],[Coal Power Plant Size (MW) or Share]]*0.593*9057*211.9*10^(-9)</f>
        <v>0.18892007349539999</v>
      </c>
      <c r="V24" s="2">
        <f>Table1[[#This Row],[Annual Emissions (MMTCO2)]]*40</f>
        <v>7.5568029398159995</v>
      </c>
      <c r="W24"/>
      <c r="X24">
        <f>332/2</f>
        <v>166</v>
      </c>
      <c r="Y24"/>
      <c r="Z24" s="1"/>
      <c r="AA24" s="1"/>
    </row>
    <row r="25" spans="1:27" ht="27" hidden="1" customHeight="1">
      <c r="A25" t="s">
        <v>123</v>
      </c>
      <c r="B25" t="s">
        <v>1748</v>
      </c>
      <c r="C25" t="s">
        <v>2030</v>
      </c>
      <c r="D25" s="6">
        <v>6720000</v>
      </c>
      <c r="E25"/>
      <c r="F25"/>
      <c r="G25"/>
      <c r="H25" t="s">
        <v>1623</v>
      </c>
      <c r="I25" t="s">
        <v>1863</v>
      </c>
      <c r="J25" s="28">
        <v>42082</v>
      </c>
      <c r="K25" t="s">
        <v>992</v>
      </c>
      <c r="L25" t="s">
        <v>200</v>
      </c>
      <c r="M25"/>
      <c r="N25"/>
      <c r="O25"/>
      <c r="P25"/>
      <c r="Q25" t="s">
        <v>634</v>
      </c>
      <c r="R25" t="s">
        <v>1469</v>
      </c>
      <c r="S25" t="s">
        <v>703</v>
      </c>
      <c r="T25">
        <f>332/2</f>
        <v>166</v>
      </c>
      <c r="U25" s="2">
        <f>Table1[[#This Row],[Coal Power Plant Size (MW) or Share]]*0.593*9057*211.9*10^(-9)</f>
        <v>0.18892007349539999</v>
      </c>
      <c r="V25" s="2">
        <f>Table1[[#This Row],[Annual Emissions (MMTCO2)]]*40</f>
        <v>7.5568029398159995</v>
      </c>
      <c r="W25"/>
      <c r="X25">
        <f>332/2</f>
        <v>166</v>
      </c>
      <c r="Y25"/>
      <c r="Z25" s="1"/>
      <c r="AA25" s="1"/>
    </row>
    <row r="26" spans="1:27" ht="27" hidden="1" customHeight="1">
      <c r="A26" t="s">
        <v>123</v>
      </c>
      <c r="B26" t="s">
        <v>1748</v>
      </c>
      <c r="C26" t="s">
        <v>2030</v>
      </c>
      <c r="D26" s="6">
        <v>64239999.999999993</v>
      </c>
      <c r="E26"/>
      <c r="F26"/>
      <c r="G26"/>
      <c r="H26" t="s">
        <v>1499</v>
      </c>
      <c r="I26" t="s">
        <v>1760</v>
      </c>
      <c r="J26" s="28">
        <v>42347</v>
      </c>
      <c r="K26" t="s">
        <v>1130</v>
      </c>
      <c r="L26" t="s">
        <v>86</v>
      </c>
      <c r="M26" t="s">
        <v>1500</v>
      </c>
      <c r="N26"/>
      <c r="O26"/>
      <c r="P26"/>
      <c r="Q26" t="s">
        <v>634</v>
      </c>
      <c r="R26" t="s">
        <v>1469</v>
      </c>
      <c r="S26" t="s">
        <v>703</v>
      </c>
      <c r="T26">
        <f>240/2</f>
        <v>120</v>
      </c>
      <c r="U26" s="2">
        <f>Table1[[#This Row],[Coal Power Plant Size (MW) or Share]]*0.593*9057*211.9*10^(-9)</f>
        <v>0.13656872782800003</v>
      </c>
      <c r="V26" s="2">
        <f>Table1[[#This Row],[Annual Emissions (MMTCO2)]]*40</f>
        <v>5.462749113120001</v>
      </c>
      <c r="W26"/>
      <c r="X26">
        <f>240/2</f>
        <v>120</v>
      </c>
      <c r="Y26"/>
      <c r="Z26" s="1"/>
      <c r="AA26" s="1"/>
    </row>
    <row r="27" spans="1:27" ht="27" hidden="1" customHeight="1">
      <c r="A27" t="s">
        <v>123</v>
      </c>
      <c r="B27" t="s">
        <v>1747</v>
      </c>
      <c r="C27" t="s">
        <v>126</v>
      </c>
      <c r="D27" s="6">
        <v>53670000</v>
      </c>
      <c r="E27"/>
      <c r="F27"/>
      <c r="G27"/>
      <c r="H27" t="s">
        <v>1616</v>
      </c>
      <c r="I27" t="s">
        <v>1939</v>
      </c>
      <c r="J27" s="28">
        <v>42600</v>
      </c>
      <c r="K27" t="s">
        <v>991</v>
      </c>
      <c r="L27" t="s">
        <v>27</v>
      </c>
      <c r="M27"/>
      <c r="N27"/>
      <c r="O27"/>
      <c r="P27"/>
      <c r="Q27" t="s">
        <v>634</v>
      </c>
      <c r="R27" t="s">
        <v>1538</v>
      </c>
      <c r="S27" t="s">
        <v>703</v>
      </c>
      <c r="T27">
        <f>70/3</f>
        <v>23.333333333333332</v>
      </c>
      <c r="U27" s="2">
        <f>Table1[[#This Row],[Coal Power Plant Size (MW) or Share]]*0.593*9057*211.9*10^(-9)</f>
        <v>2.6555030411000002E-2</v>
      </c>
      <c r="V27" s="2">
        <f>Table1[[#This Row],[Annual Emissions (MMTCO2)]]*40</f>
        <v>1.0622012164400001</v>
      </c>
      <c r="W27"/>
      <c r="X27">
        <f>70/3</f>
        <v>23.333333333333332</v>
      </c>
      <c r="Y27"/>
      <c r="Z27" s="1"/>
      <c r="AA27" s="1"/>
    </row>
    <row r="28" spans="1:27" ht="27" hidden="1" customHeight="1">
      <c r="A28" t="s">
        <v>123</v>
      </c>
      <c r="B28" t="s">
        <v>1748</v>
      </c>
      <c r="C28" t="s">
        <v>2030</v>
      </c>
      <c r="D28" s="6">
        <v>29610000</v>
      </c>
      <c r="E28"/>
      <c r="F28"/>
      <c r="G28"/>
      <c r="H28" t="s">
        <v>1662</v>
      </c>
      <c r="I28" t="s">
        <v>1951</v>
      </c>
      <c r="J28" s="28">
        <v>42648</v>
      </c>
      <c r="K28" t="s">
        <v>992</v>
      </c>
      <c r="L28" t="s">
        <v>1640</v>
      </c>
      <c r="M28"/>
      <c r="N28"/>
      <c r="O28"/>
      <c r="P28"/>
      <c r="Q28" t="s">
        <v>634</v>
      </c>
      <c r="R28" t="s">
        <v>636</v>
      </c>
      <c r="S28" t="s">
        <v>703</v>
      </c>
      <c r="T28">
        <v>29.1</v>
      </c>
      <c r="U28" s="2">
        <f>Table1[[#This Row],[Coal Power Plant Size (MW) or Share]]*0.593*9057*211.9*10^(-9)</f>
        <v>3.3117916498290004E-2</v>
      </c>
      <c r="V28" s="2">
        <f>Table1[[#This Row],[Annual Emissions (MMTCO2)]]*40</f>
        <v>1.3247166599316</v>
      </c>
      <c r="W28"/>
      <c r="X28">
        <v>29.1</v>
      </c>
      <c r="Y28"/>
      <c r="Z28" s="1"/>
      <c r="AA28" s="1"/>
    </row>
    <row r="29" spans="1:27" ht="27" hidden="1" customHeight="1">
      <c r="A29" t="s">
        <v>123</v>
      </c>
      <c r="B29" t="s">
        <v>567</v>
      </c>
      <c r="C29" t="s">
        <v>126</v>
      </c>
      <c r="D29" s="6">
        <v>30000000</v>
      </c>
      <c r="E29"/>
      <c r="F29"/>
      <c r="G29"/>
      <c r="H29" t="s">
        <v>1647</v>
      </c>
      <c r="I29" t="s">
        <v>1901</v>
      </c>
      <c r="J29" s="28">
        <v>42695</v>
      </c>
      <c r="K29" t="s">
        <v>990</v>
      </c>
      <c r="L29" t="s">
        <v>1648</v>
      </c>
      <c r="M29"/>
      <c r="N29"/>
      <c r="O29"/>
      <c r="P29"/>
      <c r="Q29" t="s">
        <v>634</v>
      </c>
      <c r="R29" t="s">
        <v>635</v>
      </c>
      <c r="S29" t="s">
        <v>703</v>
      </c>
      <c r="T29">
        <v>100</v>
      </c>
      <c r="U29" s="2">
        <f>Table1[[#This Row],[Coal Power Plant Size (MW) or Share]]*0.593*9057*211.9*10^(-9)</f>
        <v>0.11380727319</v>
      </c>
      <c r="V29" s="2">
        <f>Table1[[#This Row],[Annual Emissions (MMTCO2)]]*40</f>
        <v>4.5522909275999996</v>
      </c>
      <c r="W29"/>
      <c r="X29">
        <v>100</v>
      </c>
      <c r="Y29"/>
      <c r="Z29" s="1"/>
      <c r="AA29" s="1"/>
    </row>
    <row r="30" spans="1:27" ht="27" hidden="1" customHeight="1">
      <c r="A30" t="s">
        <v>123</v>
      </c>
      <c r="B30" t="s">
        <v>567</v>
      </c>
      <c r="C30" t="s">
        <v>126</v>
      </c>
      <c r="D30" s="6">
        <v>10000000</v>
      </c>
      <c r="E30"/>
      <c r="F30"/>
      <c r="G30"/>
      <c r="H30" t="s">
        <v>1674</v>
      </c>
      <c r="I30" t="s">
        <v>1889</v>
      </c>
      <c r="J30" s="28">
        <v>42696</v>
      </c>
      <c r="K30" t="s">
        <v>990</v>
      </c>
      <c r="L30" t="s">
        <v>1466</v>
      </c>
      <c r="M30"/>
      <c r="N30"/>
      <c r="O30"/>
      <c r="P30"/>
      <c r="Q30" t="s">
        <v>634</v>
      </c>
      <c r="R30" t="s">
        <v>635</v>
      </c>
      <c r="S30" t="s">
        <v>703</v>
      </c>
      <c r="T30">
        <f>69.9/2</f>
        <v>34.950000000000003</v>
      </c>
      <c r="U30" s="2">
        <f>Table1[[#This Row],[Coal Power Plant Size (MW) or Share]]*0.593*9057*211.9*10^(-9)</f>
        <v>3.9775641979905012E-2</v>
      </c>
      <c r="V30" s="2">
        <f>Table1[[#This Row],[Annual Emissions (MMTCO2)]]*40</f>
        <v>1.5910256791962005</v>
      </c>
      <c r="W30"/>
      <c r="X30">
        <f>69.9/2</f>
        <v>34.950000000000003</v>
      </c>
      <c r="Y30"/>
      <c r="Z30" s="1"/>
      <c r="AA30" s="1"/>
    </row>
    <row r="31" spans="1:27" ht="27" hidden="1" customHeight="1">
      <c r="A31" t="s">
        <v>123</v>
      </c>
      <c r="B31" t="s">
        <v>124</v>
      </c>
      <c r="C31" t="s">
        <v>1465</v>
      </c>
      <c r="D31" s="6">
        <v>72000000</v>
      </c>
      <c r="E31"/>
      <c r="F31"/>
      <c r="G31"/>
      <c r="H31" t="s">
        <v>1551</v>
      </c>
      <c r="I31" t="s">
        <v>1883</v>
      </c>
      <c r="J31" s="28">
        <v>42898</v>
      </c>
      <c r="K31" t="s">
        <v>993</v>
      </c>
      <c r="L31" t="s">
        <v>1552</v>
      </c>
      <c r="M31" t="s">
        <v>2002</v>
      </c>
      <c r="N31"/>
      <c r="O31" t="s">
        <v>2003</v>
      </c>
      <c r="P31"/>
      <c r="Q31" t="s">
        <v>634</v>
      </c>
      <c r="R31" t="s">
        <v>635</v>
      </c>
      <c r="S31" t="s">
        <v>703</v>
      </c>
      <c r="T31"/>
      <c r="U31" s="2">
        <f>Table1[[#This Row],[Coal Power Plant Size (MW) or Share]]*0.593*9057*211.9*10^(-9)</f>
        <v>0</v>
      </c>
      <c r="V31" s="2">
        <f>Table1[[#This Row],[Annual Emissions (MMTCO2)]]*40</f>
        <v>0</v>
      </c>
      <c r="W31"/>
      <c r="X31">
        <f>800/2</f>
        <v>400</v>
      </c>
      <c r="Y31"/>
      <c r="Z31" s="1"/>
      <c r="AA31" s="1"/>
    </row>
    <row r="32" spans="1:27" ht="27" hidden="1" customHeight="1">
      <c r="A32" t="s">
        <v>45</v>
      </c>
      <c r="B32" t="s">
        <v>125</v>
      </c>
      <c r="C32" t="s">
        <v>126</v>
      </c>
      <c r="D32" s="6">
        <v>2000000000</v>
      </c>
      <c r="E32" t="s">
        <v>127</v>
      </c>
      <c r="F32"/>
      <c r="G32"/>
      <c r="H32" t="s">
        <v>128</v>
      </c>
      <c r="I32" t="s">
        <v>129</v>
      </c>
      <c r="J32" s="28">
        <v>41355</v>
      </c>
      <c r="K32" t="s">
        <v>1451</v>
      </c>
      <c r="L32" t="s">
        <v>110</v>
      </c>
      <c r="M32"/>
      <c r="N32"/>
      <c r="O32"/>
      <c r="P32"/>
      <c r="Q32" t="s">
        <v>37</v>
      </c>
      <c r="R32" t="s">
        <v>130</v>
      </c>
      <c r="S32" t="s">
        <v>703</v>
      </c>
      <c r="T32"/>
      <c r="U32" s="2">
        <f>Table1[[#This Row],[Coal Power Plant Size (MW) or Share]]*0.593*9057*211.9*10^(-9)</f>
        <v>0</v>
      </c>
      <c r="V32" s="2">
        <f>Table1[[#This Row],[Annual Emissions (MMTCO2)]]*40</f>
        <v>0</v>
      </c>
      <c r="W32"/>
      <c r="X32"/>
      <c r="Y32"/>
      <c r="Z32" s="1"/>
      <c r="AA32" s="1"/>
    </row>
    <row r="33" spans="1:27" ht="27" hidden="1" customHeight="1">
      <c r="A33" t="s">
        <v>45</v>
      </c>
      <c r="B33" t="s">
        <v>125</v>
      </c>
      <c r="C33" t="s">
        <v>126</v>
      </c>
      <c r="D33" s="6">
        <v>66660000</v>
      </c>
      <c r="E33" t="s">
        <v>429</v>
      </c>
      <c r="F33"/>
      <c r="G33"/>
      <c r="H33" t="s">
        <v>430</v>
      </c>
      <c r="I33" t="s">
        <v>431</v>
      </c>
      <c r="J33" s="28">
        <v>42462</v>
      </c>
      <c r="K33" t="s">
        <v>989</v>
      </c>
      <c r="L33" t="s">
        <v>78</v>
      </c>
      <c r="M33"/>
      <c r="N33" t="s">
        <v>478</v>
      </c>
      <c r="O33" t="s">
        <v>905</v>
      </c>
      <c r="P33"/>
      <c r="Q33" t="s">
        <v>37</v>
      </c>
      <c r="R33" t="s">
        <v>37</v>
      </c>
      <c r="S33" t="s">
        <v>703</v>
      </c>
      <c r="T33">
        <v>0</v>
      </c>
      <c r="U33" s="2">
        <f>Table1[[#This Row],[Coal Power Plant Size (MW) or Share]]*0.593*9057*211.9*10^(-9)</f>
        <v>0</v>
      </c>
      <c r="V33" s="2">
        <f>Table1[[#This Row],[Annual Emissions (MMTCO2)]]*40</f>
        <v>0</v>
      </c>
      <c r="W33">
        <v>1.2666666666666666</v>
      </c>
      <c r="X33"/>
      <c r="Y33"/>
      <c r="Z33" s="1"/>
      <c r="AA33" s="1"/>
    </row>
    <row r="34" spans="1:27" ht="27" hidden="1" customHeight="1">
      <c r="A34" t="s">
        <v>45</v>
      </c>
      <c r="B34" t="s">
        <v>125</v>
      </c>
      <c r="C34" t="s">
        <v>126</v>
      </c>
      <c r="D34" s="6">
        <v>318000000</v>
      </c>
      <c r="E34" t="s">
        <v>1458</v>
      </c>
      <c r="F34" t="s">
        <v>1281</v>
      </c>
      <c r="G34"/>
      <c r="H34" t="s">
        <v>142</v>
      </c>
      <c r="I34" t="s">
        <v>143</v>
      </c>
      <c r="J34" s="28">
        <v>41417</v>
      </c>
      <c r="K34" t="s">
        <v>991</v>
      </c>
      <c r="L34" t="s">
        <v>67</v>
      </c>
      <c r="M34" t="s">
        <v>1282</v>
      </c>
      <c r="N34"/>
      <c r="O34" t="s">
        <v>1009</v>
      </c>
      <c r="P34" t="s">
        <v>1010</v>
      </c>
      <c r="Q34" t="s">
        <v>17</v>
      </c>
      <c r="R34" t="s">
        <v>18</v>
      </c>
      <c r="S34" t="s">
        <v>703</v>
      </c>
      <c r="T34">
        <v>300</v>
      </c>
      <c r="U34" s="2">
        <f>Table1[[#This Row],[Coal Power Plant Size (MW) or Share]]*0.593*9057*211.9*10^(-9)</f>
        <v>0.34142181957000001</v>
      </c>
      <c r="V34" s="2">
        <f>Table1[[#This Row],[Annual Emissions (MMTCO2)]]*40</f>
        <v>13.656872782800001</v>
      </c>
      <c r="W34"/>
      <c r="X34"/>
      <c r="Y34"/>
      <c r="Z34" s="1"/>
      <c r="AA34" s="1"/>
    </row>
    <row r="35" spans="1:27" ht="27" hidden="1" customHeight="1">
      <c r="A35" t="s">
        <v>45</v>
      </c>
      <c r="B35" t="s">
        <v>802</v>
      </c>
      <c r="C35" t="s">
        <v>1465</v>
      </c>
      <c r="D35" s="6">
        <v>360000000</v>
      </c>
      <c r="E35" t="s">
        <v>164</v>
      </c>
      <c r="F35"/>
      <c r="G35"/>
      <c r="H35" t="s">
        <v>164</v>
      </c>
      <c r="I35" t="s">
        <v>165</v>
      </c>
      <c r="J35" s="28">
        <v>41481</v>
      </c>
      <c r="K35" t="s">
        <v>993</v>
      </c>
      <c r="L35" t="s">
        <v>166</v>
      </c>
      <c r="M35"/>
      <c r="N35"/>
      <c r="O35" t="s">
        <v>165</v>
      </c>
      <c r="P35"/>
      <c r="Q35" t="s">
        <v>17</v>
      </c>
      <c r="R35" t="s">
        <v>18</v>
      </c>
      <c r="S35" t="s">
        <v>703</v>
      </c>
      <c r="T35">
        <v>318</v>
      </c>
      <c r="U35" s="2">
        <f>Table1[[#This Row],[Coal Power Plant Size (MW) or Share]]*0.593*9057*211.9*10^(-9)</f>
        <v>0.3619071287442</v>
      </c>
      <c r="V35" s="2">
        <f>Table1[[#This Row],[Annual Emissions (MMTCO2)]]*40</f>
        <v>14.476285149768</v>
      </c>
      <c r="W35"/>
      <c r="X35"/>
      <c r="Y35"/>
      <c r="Z35" s="1"/>
      <c r="AA35" s="1"/>
    </row>
    <row r="36" spans="1:27" ht="27" hidden="1" customHeight="1">
      <c r="A36" t="s">
        <v>45</v>
      </c>
      <c r="B36" t="s">
        <v>802</v>
      </c>
      <c r="C36" t="s">
        <v>1465</v>
      </c>
      <c r="D36" s="6">
        <v>165600000</v>
      </c>
      <c r="E36" t="s">
        <v>1401</v>
      </c>
      <c r="F36" t="s">
        <v>1349</v>
      </c>
      <c r="G36" t="s">
        <v>1265</v>
      </c>
      <c r="H36" t="s">
        <v>182</v>
      </c>
      <c r="I36" t="s">
        <v>1440</v>
      </c>
      <c r="J36" s="28">
        <v>41526</v>
      </c>
      <c r="K36" t="s">
        <v>1451</v>
      </c>
      <c r="L36" t="s">
        <v>184</v>
      </c>
      <c r="M36" t="s">
        <v>1402</v>
      </c>
      <c r="N36"/>
      <c r="O36" t="s">
        <v>183</v>
      </c>
      <c r="P36"/>
      <c r="Q36" t="s">
        <v>17</v>
      </c>
      <c r="R36" t="s">
        <v>160</v>
      </c>
      <c r="S36" t="s">
        <v>703</v>
      </c>
      <c r="T36">
        <v>150</v>
      </c>
      <c r="U36" s="2">
        <f>Table1[[#This Row],[Coal Power Plant Size (MW) or Share]]*0.593*9057*211.9*10^(-9)</f>
        <v>0.170710909785</v>
      </c>
      <c r="V36" s="2">
        <f>Table1[[#This Row],[Annual Emissions (MMTCO2)]]*40</f>
        <v>6.8284363914000004</v>
      </c>
      <c r="W36"/>
      <c r="X36"/>
      <c r="Y36"/>
      <c r="Z36" s="1"/>
      <c r="AA36" s="1"/>
    </row>
    <row r="37" spans="1:27" ht="27" hidden="1" customHeight="1">
      <c r="A37" t="s">
        <v>45</v>
      </c>
      <c r="B37" t="s">
        <v>802</v>
      </c>
      <c r="C37" t="s">
        <v>1465</v>
      </c>
      <c r="D37" s="6">
        <v>386000000</v>
      </c>
      <c r="E37" t="s">
        <v>170</v>
      </c>
      <c r="F37"/>
      <c r="G37"/>
      <c r="H37" t="s">
        <v>171</v>
      </c>
      <c r="I37" t="s">
        <v>172</v>
      </c>
      <c r="J37" s="28">
        <v>41528</v>
      </c>
      <c r="K37" t="s">
        <v>1451</v>
      </c>
      <c r="L37" t="s">
        <v>22</v>
      </c>
      <c r="M37"/>
      <c r="N37" t="s">
        <v>173</v>
      </c>
      <c r="O37" t="s">
        <v>174</v>
      </c>
      <c r="P37"/>
      <c r="Q37" t="s">
        <v>17</v>
      </c>
      <c r="R37" t="s">
        <v>160</v>
      </c>
      <c r="S37" t="s">
        <v>703</v>
      </c>
      <c r="T37">
        <v>300</v>
      </c>
      <c r="U37" s="2">
        <f>Table1[[#This Row],[Coal Power Plant Size (MW) or Share]]*0.593*9057*211.9*10^(-9)</f>
        <v>0.34142181957000001</v>
      </c>
      <c r="V37" s="2">
        <f>Table1[[#This Row],[Annual Emissions (MMTCO2)]]*40</f>
        <v>13.656872782800001</v>
      </c>
      <c r="W37"/>
      <c r="X37"/>
      <c r="Y37"/>
      <c r="Z37" s="1"/>
      <c r="AA37" s="1"/>
    </row>
    <row r="38" spans="1:27" ht="27" hidden="1" customHeight="1">
      <c r="A38" t="s">
        <v>45</v>
      </c>
      <c r="B38" t="s">
        <v>125</v>
      </c>
      <c r="C38" t="s">
        <v>126</v>
      </c>
      <c r="D38" s="6">
        <f>195250000/7</f>
        <v>27892857.142857142</v>
      </c>
      <c r="E38" t="s">
        <v>100</v>
      </c>
      <c r="F38"/>
      <c r="G38"/>
      <c r="H38" t="s">
        <v>382</v>
      </c>
      <c r="I38" t="s">
        <v>145</v>
      </c>
      <c r="J38" s="28">
        <v>41618</v>
      </c>
      <c r="K38" t="s">
        <v>991</v>
      </c>
      <c r="L38" t="s">
        <v>98</v>
      </c>
      <c r="M38" t="s">
        <v>1409</v>
      </c>
      <c r="N38" t="s">
        <v>146</v>
      </c>
      <c r="O38"/>
      <c r="P38"/>
      <c r="Q38" t="s">
        <v>17</v>
      </c>
      <c r="R38" t="s">
        <v>18</v>
      </c>
      <c r="S38" t="s">
        <v>703</v>
      </c>
      <c r="T38">
        <v>1200</v>
      </c>
      <c r="U38" s="2">
        <f>Table1[[#This Row],[Coal Power Plant Size (MW) or Share]]*0.593*9057*211.9*10^(-9)</f>
        <v>1.36568727828</v>
      </c>
      <c r="V38" s="2">
        <f>Table1[[#This Row],[Annual Emissions (MMTCO2)]]*40</f>
        <v>54.627491131200003</v>
      </c>
      <c r="W38"/>
      <c r="X38"/>
      <c r="Y38"/>
      <c r="Z38" s="1"/>
      <c r="AA38" s="1"/>
    </row>
    <row r="39" spans="1:27" ht="27" hidden="1" customHeight="1">
      <c r="A39" t="s">
        <v>45</v>
      </c>
      <c r="B39" t="s">
        <v>802</v>
      </c>
      <c r="C39" t="s">
        <v>1465</v>
      </c>
      <c r="D39" s="6">
        <v>300000000</v>
      </c>
      <c r="E39" t="s">
        <v>167</v>
      </c>
      <c r="F39"/>
      <c r="G39"/>
      <c r="H39" t="s">
        <v>168</v>
      </c>
      <c r="I39"/>
      <c r="J39" s="28">
        <v>41883</v>
      </c>
      <c r="K39" t="s">
        <v>993</v>
      </c>
      <c r="L39" t="s">
        <v>166</v>
      </c>
      <c r="M39"/>
      <c r="N39"/>
      <c r="O39" t="s">
        <v>169</v>
      </c>
      <c r="P39"/>
      <c r="Q39" t="s">
        <v>17</v>
      </c>
      <c r="R39" t="s">
        <v>23</v>
      </c>
      <c r="S39" t="s">
        <v>703</v>
      </c>
      <c r="T39">
        <v>318</v>
      </c>
      <c r="U39" s="2">
        <f>Table1[[#This Row],[Coal Power Plant Size (MW) or Share]]*0.593*9057*211.9*10^(-9)</f>
        <v>0.3619071287442</v>
      </c>
      <c r="V39" s="2">
        <f>Table1[[#This Row],[Annual Emissions (MMTCO2)]]*40</f>
        <v>14.476285149768</v>
      </c>
      <c r="W39"/>
      <c r="X39"/>
      <c r="Y39"/>
      <c r="Z39" s="1"/>
      <c r="AA39" s="1"/>
    </row>
    <row r="40" spans="1:27" ht="27" hidden="1" customHeight="1">
      <c r="A40" t="s">
        <v>45</v>
      </c>
      <c r="B40" t="s">
        <v>802</v>
      </c>
      <c r="C40" t="s">
        <v>1465</v>
      </c>
      <c r="D40" s="6">
        <v>608260000</v>
      </c>
      <c r="E40" t="s">
        <v>157</v>
      </c>
      <c r="F40"/>
      <c r="G40"/>
      <c r="H40" t="s">
        <v>158</v>
      </c>
      <c r="I40" t="s">
        <v>159</v>
      </c>
      <c r="J40" s="28">
        <v>41989</v>
      </c>
      <c r="K40" t="s">
        <v>992</v>
      </c>
      <c r="L40" t="s">
        <v>104</v>
      </c>
      <c r="M40"/>
      <c r="N40" t="s">
        <v>161</v>
      </c>
      <c r="O40" t="s">
        <v>162</v>
      </c>
      <c r="P40"/>
      <c r="Q40" t="s">
        <v>17</v>
      </c>
      <c r="R40" t="s">
        <v>160</v>
      </c>
      <c r="S40" t="s">
        <v>703</v>
      </c>
      <c r="T40">
        <v>350</v>
      </c>
      <c r="U40" s="2">
        <f>Table1[[#This Row],[Coal Power Plant Size (MW) or Share]]*0.593*9057*211.9*10^(-9)</f>
        <v>0.39832545616499998</v>
      </c>
      <c r="V40" s="2">
        <f>Table1[[#This Row],[Annual Emissions (MMTCO2)]]*40</f>
        <v>15.9330182466</v>
      </c>
      <c r="W40"/>
      <c r="X40"/>
      <c r="Y40"/>
      <c r="Z40" s="1"/>
      <c r="AA40" s="1"/>
    </row>
    <row r="41" spans="1:27" ht="27" hidden="1" customHeight="1">
      <c r="A41" t="s">
        <v>45</v>
      </c>
      <c r="B41" t="s">
        <v>802</v>
      </c>
      <c r="C41" t="s">
        <v>1465</v>
      </c>
      <c r="D41" s="6">
        <v>373009532</v>
      </c>
      <c r="E41" t="s">
        <v>175</v>
      </c>
      <c r="F41"/>
      <c r="G41"/>
      <c r="H41" t="s">
        <v>176</v>
      </c>
      <c r="I41" t="s">
        <v>177</v>
      </c>
      <c r="J41" s="28">
        <v>41995</v>
      </c>
      <c r="K41" t="s">
        <v>991</v>
      </c>
      <c r="L41" t="s">
        <v>67</v>
      </c>
      <c r="M41"/>
      <c r="N41" t="s">
        <v>178</v>
      </c>
      <c r="O41" t="s">
        <v>179</v>
      </c>
      <c r="P41"/>
      <c r="Q41" t="s">
        <v>17</v>
      </c>
      <c r="R41" t="s">
        <v>144</v>
      </c>
      <c r="S41" t="s">
        <v>703</v>
      </c>
      <c r="T41">
        <v>400</v>
      </c>
      <c r="U41" s="2">
        <f>Table1[[#This Row],[Coal Power Plant Size (MW) or Share]]*0.593*9057*211.9*10^(-9)</f>
        <v>0.45522909276000001</v>
      </c>
      <c r="V41" s="2">
        <f>Table1[[#This Row],[Annual Emissions (MMTCO2)]]*40</f>
        <v>18.209163710399999</v>
      </c>
      <c r="W41"/>
      <c r="X41"/>
      <c r="Y41"/>
      <c r="Z41" s="1"/>
      <c r="AA41" s="1"/>
    </row>
    <row r="42" spans="1:27" ht="27" hidden="1" customHeight="1">
      <c r="A42" t="s">
        <v>45</v>
      </c>
      <c r="B42" t="s">
        <v>802</v>
      </c>
      <c r="C42" t="s">
        <v>1465</v>
      </c>
      <c r="D42" s="6">
        <v>240983000</v>
      </c>
      <c r="E42" t="s">
        <v>175</v>
      </c>
      <c r="F42"/>
      <c r="G42"/>
      <c r="H42" t="s">
        <v>180</v>
      </c>
      <c r="I42" t="s">
        <v>181</v>
      </c>
      <c r="J42" s="28">
        <v>41995</v>
      </c>
      <c r="K42" t="s">
        <v>991</v>
      </c>
      <c r="L42" t="s">
        <v>67</v>
      </c>
      <c r="M42"/>
      <c r="N42"/>
      <c r="O42"/>
      <c r="P42"/>
      <c r="Q42" t="s">
        <v>17</v>
      </c>
      <c r="R42" t="s">
        <v>144</v>
      </c>
      <c r="S42" t="s">
        <v>703</v>
      </c>
      <c r="T42">
        <v>200</v>
      </c>
      <c r="U42" s="2">
        <f>Table1[[#This Row],[Coal Power Plant Size (MW) or Share]]*0.593*9057*211.9*10^(-9)</f>
        <v>0.22761454638</v>
      </c>
      <c r="V42" s="2">
        <f>Table1[[#This Row],[Annual Emissions (MMTCO2)]]*40</f>
        <v>9.1045818551999993</v>
      </c>
      <c r="W42"/>
      <c r="X42"/>
      <c r="Y42"/>
      <c r="Z42" s="1"/>
      <c r="AA42" s="1"/>
    </row>
    <row r="43" spans="1:27" ht="27" hidden="1" customHeight="1">
      <c r="A43" t="s">
        <v>45</v>
      </c>
      <c r="B43" t="s">
        <v>802</v>
      </c>
      <c r="C43" t="s">
        <v>1465</v>
      </c>
      <c r="D43" s="6">
        <v>234000000</v>
      </c>
      <c r="E43" t="s">
        <v>147</v>
      </c>
      <c r="F43" t="s">
        <v>1408</v>
      </c>
      <c r="G43"/>
      <c r="H43" t="s">
        <v>148</v>
      </c>
      <c r="I43" t="s">
        <v>149</v>
      </c>
      <c r="J43" s="28">
        <v>42004</v>
      </c>
      <c r="K43" t="s">
        <v>991</v>
      </c>
      <c r="L43" t="s">
        <v>98</v>
      </c>
      <c r="M43" t="s">
        <v>954</v>
      </c>
      <c r="N43" t="s">
        <v>150</v>
      </c>
      <c r="O43"/>
      <c r="P43"/>
      <c r="Q43" t="s">
        <v>17</v>
      </c>
      <c r="R43" t="s">
        <v>18</v>
      </c>
      <c r="S43" t="s">
        <v>703</v>
      </c>
      <c r="T43">
        <v>200</v>
      </c>
      <c r="U43" s="2">
        <f>Table1[[#This Row],[Coal Power Plant Size (MW) or Share]]*0.593*9057*211.9*10^(-9)</f>
        <v>0.22761454638</v>
      </c>
      <c r="V43" s="2">
        <f>Table1[[#This Row],[Annual Emissions (MMTCO2)]]*40</f>
        <v>9.1045818551999993</v>
      </c>
      <c r="W43"/>
      <c r="X43"/>
      <c r="Y43"/>
      <c r="Z43" s="1"/>
      <c r="AA43" s="1"/>
    </row>
    <row r="44" spans="1:27" ht="27" hidden="1" customHeight="1">
      <c r="A44" t="s">
        <v>45</v>
      </c>
      <c r="B44" t="s">
        <v>1120</v>
      </c>
      <c r="C44" t="s">
        <v>1465</v>
      </c>
      <c r="D44" s="6">
        <v>234000000</v>
      </c>
      <c r="E44" t="s">
        <v>147</v>
      </c>
      <c r="F44" t="s">
        <v>1408</v>
      </c>
      <c r="G44"/>
      <c r="H44" t="s">
        <v>148</v>
      </c>
      <c r="I44" t="s">
        <v>149</v>
      </c>
      <c r="J44" s="28">
        <v>42004</v>
      </c>
      <c r="K44" t="s">
        <v>991</v>
      </c>
      <c r="L44" t="s">
        <v>98</v>
      </c>
      <c r="M44" t="s">
        <v>954</v>
      </c>
      <c r="N44" t="s">
        <v>150</v>
      </c>
      <c r="O44"/>
      <c r="P44"/>
      <c r="Q44" t="s">
        <v>17</v>
      </c>
      <c r="R44" t="s">
        <v>18</v>
      </c>
      <c r="S44" t="s">
        <v>703</v>
      </c>
      <c r="T44">
        <v>200</v>
      </c>
      <c r="U44" s="2">
        <f>Table1[[#This Row],[Coal Power Plant Size (MW) or Share]]*0.593*9057*211.9*10^(-9)</f>
        <v>0.22761454638</v>
      </c>
      <c r="V44" s="2">
        <f>Table1[[#This Row],[Annual Emissions (MMTCO2)]]*40</f>
        <v>9.1045818551999993</v>
      </c>
      <c r="W44"/>
      <c r="X44"/>
      <c r="Y44"/>
      <c r="Z44" s="1"/>
      <c r="AA44" s="1"/>
    </row>
    <row r="45" spans="1:27" ht="27" hidden="1" customHeight="1">
      <c r="A45" t="s">
        <v>45</v>
      </c>
      <c r="B45" t="s">
        <v>125</v>
      </c>
      <c r="C45" t="s">
        <v>126</v>
      </c>
      <c r="D45" s="6">
        <v>234000000</v>
      </c>
      <c r="E45" t="s">
        <v>147</v>
      </c>
      <c r="F45" t="s">
        <v>1408</v>
      </c>
      <c r="G45"/>
      <c r="H45" t="s">
        <v>148</v>
      </c>
      <c r="I45" t="s">
        <v>149</v>
      </c>
      <c r="J45" s="28">
        <v>42004</v>
      </c>
      <c r="K45" t="s">
        <v>991</v>
      </c>
      <c r="L45" t="s">
        <v>98</v>
      </c>
      <c r="M45" t="s">
        <v>954</v>
      </c>
      <c r="N45" t="s">
        <v>150</v>
      </c>
      <c r="O45"/>
      <c r="P45"/>
      <c r="Q45" t="s">
        <v>17</v>
      </c>
      <c r="R45" t="s">
        <v>18</v>
      </c>
      <c r="S45" t="s">
        <v>703</v>
      </c>
      <c r="T45">
        <v>200</v>
      </c>
      <c r="U45" s="2">
        <f>Table1[[#This Row],[Coal Power Plant Size (MW) or Share]]*0.593*9057*211.9*10^(-9)</f>
        <v>0.22761454638</v>
      </c>
      <c r="V45" s="2">
        <f>Table1[[#This Row],[Annual Emissions (MMTCO2)]]*40</f>
        <v>9.1045818551999993</v>
      </c>
      <c r="W45"/>
      <c r="X45"/>
      <c r="Y45"/>
      <c r="Z45" s="1"/>
      <c r="AA45" s="1"/>
    </row>
    <row r="46" spans="1:27" ht="27" hidden="1" customHeight="1">
      <c r="A46" t="s">
        <v>45</v>
      </c>
      <c r="B46" t="s">
        <v>125</v>
      </c>
      <c r="C46" t="s">
        <v>126</v>
      </c>
      <c r="D46" s="6">
        <v>150000000</v>
      </c>
      <c r="E46" t="s">
        <v>141</v>
      </c>
      <c r="F46"/>
      <c r="G46"/>
      <c r="H46" t="s">
        <v>151</v>
      </c>
      <c r="I46" t="s">
        <v>152</v>
      </c>
      <c r="J46" s="28">
        <v>42061</v>
      </c>
      <c r="K46" t="s">
        <v>991</v>
      </c>
      <c r="L46" t="s">
        <v>67</v>
      </c>
      <c r="M46" t="s">
        <v>1754</v>
      </c>
      <c r="N46"/>
      <c r="O46" t="s">
        <v>153</v>
      </c>
      <c r="P46" t="s">
        <v>888</v>
      </c>
      <c r="Q46" t="s">
        <v>17</v>
      </c>
      <c r="R46" t="s">
        <v>144</v>
      </c>
      <c r="S46" t="s">
        <v>703</v>
      </c>
      <c r="T46">
        <v>400</v>
      </c>
      <c r="U46" s="2">
        <f>Table1[[#This Row],[Coal Power Plant Size (MW) or Share]]*0.593*9057*211.9*10^(-9)</f>
        <v>0.45522909276000001</v>
      </c>
      <c r="V46" s="2">
        <f>Table1[[#This Row],[Annual Emissions (MMTCO2)]]*40</f>
        <v>18.209163710399999</v>
      </c>
      <c r="W46"/>
      <c r="X46"/>
      <c r="Y46"/>
      <c r="Z46" s="1"/>
      <c r="AA46" s="1"/>
    </row>
    <row r="47" spans="1:27" ht="27" hidden="1" customHeight="1">
      <c r="A47" t="s">
        <v>45</v>
      </c>
      <c r="B47" t="s">
        <v>28</v>
      </c>
      <c r="C47" t="s">
        <v>14</v>
      </c>
      <c r="D47" s="6">
        <v>2295545.1039854395</v>
      </c>
      <c r="E47" t="s">
        <v>47</v>
      </c>
      <c r="F47"/>
      <c r="G47"/>
      <c r="H47" t="s">
        <v>48</v>
      </c>
      <c r="I47"/>
      <c r="J47" s="28">
        <v>42064</v>
      </c>
      <c r="K47" t="s">
        <v>1482</v>
      </c>
      <c r="L47" t="s">
        <v>49</v>
      </c>
      <c r="M47"/>
      <c r="N47" t="s">
        <v>50</v>
      </c>
      <c r="O47" t="s">
        <v>51</v>
      </c>
      <c r="P47"/>
      <c r="Q47" t="s">
        <v>17</v>
      </c>
      <c r="R47" t="s">
        <v>18</v>
      </c>
      <c r="S47" t="s">
        <v>703</v>
      </c>
      <c r="T47"/>
      <c r="U47" s="2">
        <f>Table1[[#This Row],[Coal Power Plant Size (MW) or Share]]*0.593*9057*211.9*10^(-9)</f>
        <v>0</v>
      </c>
      <c r="V47" s="2">
        <f>Table1[[#This Row],[Annual Emissions (MMTCO2)]]*40</f>
        <v>0</v>
      </c>
      <c r="W47"/>
      <c r="X47"/>
      <c r="Y47"/>
      <c r="Z47" s="1"/>
      <c r="AA47" s="1"/>
    </row>
    <row r="48" spans="1:27" ht="27" hidden="1" customHeight="1">
      <c r="A48" t="s">
        <v>45</v>
      </c>
      <c r="B48" t="s">
        <v>802</v>
      </c>
      <c r="C48" t="s">
        <v>1465</v>
      </c>
      <c r="D48" s="6">
        <v>1200000000</v>
      </c>
      <c r="E48" t="s">
        <v>191</v>
      </c>
      <c r="F48" t="s">
        <v>1229</v>
      </c>
      <c r="G48" t="s">
        <v>1266</v>
      </c>
      <c r="H48" t="s">
        <v>1434</v>
      </c>
      <c r="I48" t="s">
        <v>192</v>
      </c>
      <c r="J48" s="28">
        <v>42094</v>
      </c>
      <c r="K48" t="s">
        <v>991</v>
      </c>
      <c r="L48" t="s">
        <v>67</v>
      </c>
      <c r="M48"/>
      <c r="N48"/>
      <c r="O48" t="s">
        <v>193</v>
      </c>
      <c r="P48" t="s">
        <v>1433</v>
      </c>
      <c r="Q48" t="s">
        <v>17</v>
      </c>
      <c r="R48" t="s">
        <v>18</v>
      </c>
      <c r="S48" t="s">
        <v>703</v>
      </c>
      <c r="T48">
        <f>2*660</f>
        <v>1320</v>
      </c>
      <c r="U48" s="2">
        <f>Table1[[#This Row],[Coal Power Plant Size (MW) or Share]]*0.593*9057*211.9*10^(-9)</f>
        <v>1.5022560061080001</v>
      </c>
      <c r="V48" s="2">
        <f>Table1[[#This Row],[Annual Emissions (MMTCO2)]]*40</f>
        <v>60.090240244320007</v>
      </c>
      <c r="W48"/>
      <c r="X48"/>
      <c r="Y48"/>
      <c r="Z48" s="1"/>
      <c r="AA48" s="1"/>
    </row>
    <row r="49" spans="1:27" ht="27" hidden="1" customHeight="1">
      <c r="A49" t="s">
        <v>45</v>
      </c>
      <c r="B49" t="s">
        <v>802</v>
      </c>
      <c r="C49" t="s">
        <v>1465</v>
      </c>
      <c r="D49" s="6">
        <v>330000000</v>
      </c>
      <c r="E49" t="s">
        <v>755</v>
      </c>
      <c r="F49"/>
      <c r="G49"/>
      <c r="H49" t="s">
        <v>756</v>
      </c>
      <c r="I49" t="s">
        <v>757</v>
      </c>
      <c r="J49" s="28">
        <v>42125</v>
      </c>
      <c r="K49" t="s">
        <v>991</v>
      </c>
      <c r="L49" t="s">
        <v>67</v>
      </c>
      <c r="M49"/>
      <c r="N49" t="s">
        <v>758</v>
      </c>
      <c r="O49"/>
      <c r="P49"/>
      <c r="Q49" t="s">
        <v>17</v>
      </c>
      <c r="R49" t="s">
        <v>18</v>
      </c>
      <c r="S49" t="s">
        <v>703</v>
      </c>
      <c r="T49"/>
      <c r="U49" s="2">
        <f>Table1[[#This Row],[Coal Power Plant Size (MW) or Share]]*0.593*9057*211.9*10^(-9)</f>
        <v>0</v>
      </c>
      <c r="V49" s="2">
        <f>Table1[[#This Row],[Annual Emissions (MMTCO2)]]*40</f>
        <v>0</v>
      </c>
      <c r="W49"/>
      <c r="X49"/>
      <c r="Y49"/>
      <c r="Z49" s="1"/>
      <c r="AA49" s="1"/>
    </row>
    <row r="50" spans="1:27" ht="27" hidden="1" customHeight="1">
      <c r="A50" t="s">
        <v>45</v>
      </c>
      <c r="B50" t="s">
        <v>1120</v>
      </c>
      <c r="C50" t="s">
        <v>1465</v>
      </c>
      <c r="D50" s="6">
        <v>365000000</v>
      </c>
      <c r="E50" t="s">
        <v>194</v>
      </c>
      <c r="F50" t="s">
        <v>1270</v>
      </c>
      <c r="G50" t="s">
        <v>1266</v>
      </c>
      <c r="H50" t="s">
        <v>195</v>
      </c>
      <c r="I50" t="s">
        <v>196</v>
      </c>
      <c r="J50" s="28">
        <v>42213</v>
      </c>
      <c r="K50" t="s">
        <v>1482</v>
      </c>
      <c r="L50" t="s">
        <v>197</v>
      </c>
      <c r="M50"/>
      <c r="N50" t="s">
        <v>759</v>
      </c>
      <c r="O50"/>
      <c r="P50"/>
      <c r="Q50" t="s">
        <v>17</v>
      </c>
      <c r="R50" t="s">
        <v>18</v>
      </c>
      <c r="S50" t="s">
        <v>703</v>
      </c>
      <c r="T50">
        <f>300/5</f>
        <v>60</v>
      </c>
      <c r="U50" s="2">
        <f>Table1[[#This Row],[Coal Power Plant Size (MW) or Share]]*0.593*9057*211.9*10^(-9)</f>
        <v>6.8284363914000015E-2</v>
      </c>
      <c r="V50" s="2">
        <f>Table1[[#This Row],[Annual Emissions (MMTCO2)]]*40</f>
        <v>2.7313745565600005</v>
      </c>
      <c r="W50"/>
      <c r="X50"/>
      <c r="Y50"/>
      <c r="Z50" s="1"/>
      <c r="AA50" s="1"/>
    </row>
    <row r="51" spans="1:27" ht="27" hidden="1" customHeight="1">
      <c r="A51" t="s">
        <v>45</v>
      </c>
      <c r="B51" t="s">
        <v>125</v>
      </c>
      <c r="C51" t="s">
        <v>126</v>
      </c>
      <c r="D51" s="6">
        <v>880000000</v>
      </c>
      <c r="E51" t="s">
        <v>1291</v>
      </c>
      <c r="F51" t="s">
        <v>1292</v>
      </c>
      <c r="G51" t="s">
        <v>1271</v>
      </c>
      <c r="H51" t="s">
        <v>1293</v>
      </c>
      <c r="I51"/>
      <c r="J51" s="28">
        <v>42217</v>
      </c>
      <c r="K51" t="s">
        <v>991</v>
      </c>
      <c r="L51" t="s">
        <v>67</v>
      </c>
      <c r="M51" t="s">
        <v>1294</v>
      </c>
      <c r="N51"/>
      <c r="O51" t="s">
        <v>154</v>
      </c>
      <c r="P51"/>
      <c r="Q51" t="s">
        <v>17</v>
      </c>
      <c r="R51" t="s">
        <v>18</v>
      </c>
      <c r="S51" t="s">
        <v>703</v>
      </c>
      <c r="T51">
        <v>142</v>
      </c>
      <c r="U51" s="2">
        <f>Table1[[#This Row],[Coal Power Plant Size (MW) or Share]]*0.593*9057*211.9*10^(-9)</f>
        <v>0.16160632792979998</v>
      </c>
      <c r="V51" s="2">
        <f>Table1[[#This Row],[Annual Emissions (MMTCO2)]]*40</f>
        <v>6.4642531171919995</v>
      </c>
      <c r="W51"/>
      <c r="X51"/>
      <c r="Y51"/>
      <c r="Z51" s="1"/>
      <c r="AA51" s="1"/>
    </row>
    <row r="52" spans="1:27" ht="27" hidden="1" customHeight="1">
      <c r="A52" t="s">
        <v>45</v>
      </c>
      <c r="B52" t="s">
        <v>802</v>
      </c>
      <c r="C52" t="s">
        <v>1465</v>
      </c>
      <c r="D52" s="6">
        <v>467330000</v>
      </c>
      <c r="E52" t="s">
        <v>185</v>
      </c>
      <c r="F52"/>
      <c r="G52"/>
      <c r="H52" t="s">
        <v>186</v>
      </c>
      <c r="I52" t="s">
        <v>187</v>
      </c>
      <c r="J52" s="28">
        <v>42278</v>
      </c>
      <c r="K52" t="s">
        <v>991</v>
      </c>
      <c r="L52" t="s">
        <v>98</v>
      </c>
      <c r="M52"/>
      <c r="N52" t="s">
        <v>188</v>
      </c>
      <c r="O52"/>
      <c r="P52"/>
      <c r="Q52" t="s">
        <v>17</v>
      </c>
      <c r="R52" t="s">
        <v>18</v>
      </c>
      <c r="S52" t="s">
        <v>703</v>
      </c>
      <c r="T52">
        <v>400</v>
      </c>
      <c r="U52" s="2">
        <f>Table1[[#This Row],[Coal Power Plant Size (MW) or Share]]*0.593*9057*211.9*10^(-9)</f>
        <v>0.45522909276000001</v>
      </c>
      <c r="V52" s="2">
        <f>Table1[[#This Row],[Annual Emissions (MMTCO2)]]*40</f>
        <v>18.209163710399999</v>
      </c>
      <c r="W52"/>
      <c r="X52"/>
      <c r="Y52"/>
      <c r="Z52" s="1"/>
      <c r="AA52" s="1"/>
    </row>
    <row r="53" spans="1:27" ht="27" hidden="1" customHeight="1">
      <c r="A53" t="s">
        <v>45</v>
      </c>
      <c r="B53" t="s">
        <v>802</v>
      </c>
      <c r="C53" t="s">
        <v>1465</v>
      </c>
      <c r="D53" s="6">
        <v>1200000000</v>
      </c>
      <c r="E53" t="s">
        <v>189</v>
      </c>
      <c r="F53" t="s">
        <v>875</v>
      </c>
      <c r="G53"/>
      <c r="H53" t="s">
        <v>876</v>
      </c>
      <c r="I53" t="s">
        <v>882</v>
      </c>
      <c r="J53" s="28">
        <v>42339</v>
      </c>
      <c r="K53" t="s">
        <v>1482</v>
      </c>
      <c r="L53" t="s">
        <v>190</v>
      </c>
      <c r="M53" t="s">
        <v>1417</v>
      </c>
      <c r="N53" t="s">
        <v>881</v>
      </c>
      <c r="O53" t="s">
        <v>878</v>
      </c>
      <c r="P53" t="s">
        <v>877</v>
      </c>
      <c r="Q53" t="s">
        <v>17</v>
      </c>
      <c r="R53" t="s">
        <v>353</v>
      </c>
      <c r="S53" t="s">
        <v>703</v>
      </c>
      <c r="T53">
        <v>600</v>
      </c>
      <c r="U53" s="2">
        <f>Table1[[#This Row],[Coal Power Plant Size (MW) or Share]]*0.593*9057*211.9*10^(-9)</f>
        <v>0.68284363914000001</v>
      </c>
      <c r="V53" s="2">
        <f>Table1[[#This Row],[Annual Emissions (MMTCO2)]]*40</f>
        <v>27.313745565600001</v>
      </c>
      <c r="W53"/>
      <c r="X53"/>
      <c r="Y53" t="s">
        <v>34</v>
      </c>
      <c r="Z53" s="1"/>
      <c r="AA53" s="1"/>
    </row>
    <row r="54" spans="1:27" ht="27" hidden="1" customHeight="1">
      <c r="A54" t="s">
        <v>45</v>
      </c>
      <c r="B54" t="s">
        <v>125</v>
      </c>
      <c r="C54" t="s">
        <v>126</v>
      </c>
      <c r="D54" s="6">
        <v>207000000</v>
      </c>
      <c r="E54" t="s">
        <v>413</v>
      </c>
      <c r="F54"/>
      <c r="G54"/>
      <c r="H54" t="s">
        <v>902</v>
      </c>
      <c r="I54" t="s">
        <v>414</v>
      </c>
      <c r="J54" s="28">
        <v>42468</v>
      </c>
      <c r="K54" t="s">
        <v>989</v>
      </c>
      <c r="L54" t="s">
        <v>78</v>
      </c>
      <c r="M54"/>
      <c r="N54" t="s">
        <v>415</v>
      </c>
      <c r="O54" t="s">
        <v>416</v>
      </c>
      <c r="P54" t="s">
        <v>905</v>
      </c>
      <c r="Q54" t="s">
        <v>17</v>
      </c>
      <c r="R54" t="s">
        <v>395</v>
      </c>
      <c r="S54" t="s">
        <v>703</v>
      </c>
      <c r="T54">
        <v>660</v>
      </c>
      <c r="U54" s="2">
        <f>Table1[[#This Row],[Coal Power Plant Size (MW) or Share]]*0.593*9057*211.9*10^(-9)</f>
        <v>0.75112800305400007</v>
      </c>
      <c r="V54" s="2">
        <f>Table1[[#This Row],[Annual Emissions (MMTCO2)]]*40</f>
        <v>30.045120122160004</v>
      </c>
      <c r="W54"/>
      <c r="X54"/>
      <c r="Y54"/>
      <c r="Z54" s="1"/>
      <c r="AA54" s="1"/>
    </row>
    <row r="55" spans="1:27" ht="27" hidden="1" customHeight="1">
      <c r="A55" t="s">
        <v>45</v>
      </c>
      <c r="B55" t="s">
        <v>125</v>
      </c>
      <c r="C55" t="s">
        <v>126</v>
      </c>
      <c r="D55" s="6">
        <v>1800000000</v>
      </c>
      <c r="E55" t="s">
        <v>773</v>
      </c>
      <c r="F55" t="s">
        <v>1295</v>
      </c>
      <c r="G55"/>
      <c r="H55" t="s">
        <v>432</v>
      </c>
      <c r="I55" t="s">
        <v>433</v>
      </c>
      <c r="J55" s="28">
        <v>42642</v>
      </c>
      <c r="K55" t="s">
        <v>991</v>
      </c>
      <c r="L55" t="s">
        <v>67</v>
      </c>
      <c r="M55"/>
      <c r="N55"/>
      <c r="O55"/>
      <c r="P55"/>
      <c r="Q55" t="s">
        <v>17</v>
      </c>
      <c r="R55" t="s">
        <v>18</v>
      </c>
      <c r="S55" t="s">
        <v>703</v>
      </c>
      <c r="T55">
        <v>2000</v>
      </c>
      <c r="U55" s="2">
        <f>Table1[[#This Row],[Coal Power Plant Size (MW) or Share]]*0.593*9057*211.9*10^(-9)</f>
        <v>2.2761454638000003</v>
      </c>
      <c r="V55" s="2">
        <f>Table1[[#This Row],[Annual Emissions (MMTCO2)]]*40</f>
        <v>91.045818552000014</v>
      </c>
      <c r="W55"/>
      <c r="X55"/>
      <c r="Y55"/>
      <c r="Z55" s="1"/>
      <c r="AA55" s="1"/>
    </row>
    <row r="56" spans="1:27" ht="27" hidden="1" customHeight="1">
      <c r="A56" t="s">
        <v>45</v>
      </c>
      <c r="B56" t="s">
        <v>802</v>
      </c>
      <c r="C56" t="s">
        <v>1465</v>
      </c>
      <c r="D56" s="6">
        <v>1900000000</v>
      </c>
      <c r="E56" t="s">
        <v>859</v>
      </c>
      <c r="F56" t="s">
        <v>1198</v>
      </c>
      <c r="G56" t="s">
        <v>447</v>
      </c>
      <c r="H56" t="s">
        <v>831</v>
      </c>
      <c r="I56" t="s">
        <v>865</v>
      </c>
      <c r="J56" s="28">
        <v>42657</v>
      </c>
      <c r="K56" t="s">
        <v>989</v>
      </c>
      <c r="L56" t="s">
        <v>97</v>
      </c>
      <c r="M56" t="s">
        <v>1236</v>
      </c>
      <c r="N56" t="s">
        <v>1235</v>
      </c>
      <c r="O56" t="s">
        <v>832</v>
      </c>
      <c r="P56" t="s">
        <v>786</v>
      </c>
      <c r="Q56" t="s">
        <v>17</v>
      </c>
      <c r="R56" t="s">
        <v>18</v>
      </c>
      <c r="S56" t="s">
        <v>703</v>
      </c>
      <c r="T56">
        <f>660*2</f>
        <v>1320</v>
      </c>
      <c r="U56" s="2">
        <f>Table1[[#This Row],[Coal Power Plant Size (MW) or Share]]*0.593*9057*211.9*10^(-9)</f>
        <v>1.5022560061080001</v>
      </c>
      <c r="V56" s="2">
        <f>Table1[[#This Row],[Annual Emissions (MMTCO2)]]*40</f>
        <v>60.090240244320007</v>
      </c>
      <c r="W56"/>
      <c r="X56"/>
      <c r="Y56"/>
      <c r="Z56" s="1"/>
      <c r="AA56" s="1"/>
    </row>
    <row r="57" spans="1:27" ht="27" hidden="1" customHeight="1">
      <c r="A57" t="s">
        <v>45</v>
      </c>
      <c r="B57" t="s">
        <v>802</v>
      </c>
      <c r="C57" t="s">
        <v>1465</v>
      </c>
      <c r="D57" s="6">
        <f>275000000/2</f>
        <v>137500000</v>
      </c>
      <c r="E57" t="s">
        <v>1153</v>
      </c>
      <c r="F57" t="s">
        <v>1127</v>
      </c>
      <c r="G57"/>
      <c r="H57" t="s">
        <v>1152</v>
      </c>
      <c r="I57" t="s">
        <v>1119</v>
      </c>
      <c r="J57" s="28">
        <v>42669</v>
      </c>
      <c r="K57" t="s">
        <v>991</v>
      </c>
      <c r="L57" t="s">
        <v>67</v>
      </c>
      <c r="M57" t="s">
        <v>1118</v>
      </c>
      <c r="N57" t="s">
        <v>1155</v>
      </c>
      <c r="O57" t="s">
        <v>1126</v>
      </c>
      <c r="P57" t="s">
        <v>1154</v>
      </c>
      <c r="Q57" t="s">
        <v>17</v>
      </c>
      <c r="R57" t="s">
        <v>18</v>
      </c>
      <c r="S57" t="s">
        <v>703</v>
      </c>
      <c r="T57">
        <f>200/2</f>
        <v>100</v>
      </c>
      <c r="U57" s="2">
        <f>Table1[[#This Row],[Coal Power Plant Size (MW) or Share]]*0.593*9057*211.9*10^(-9)</f>
        <v>0.11380727319</v>
      </c>
      <c r="V57" s="2">
        <f>Table1[[#This Row],[Annual Emissions (MMTCO2)]]*40</f>
        <v>4.5522909275999996</v>
      </c>
      <c r="W57"/>
      <c r="X57"/>
      <c r="Y57"/>
      <c r="Z57" s="1"/>
      <c r="AA57" s="1"/>
    </row>
    <row r="58" spans="1:27" ht="27" hidden="1" customHeight="1">
      <c r="A58" t="s">
        <v>45</v>
      </c>
      <c r="B58" t="s">
        <v>765</v>
      </c>
      <c r="C58" t="s">
        <v>126</v>
      </c>
      <c r="D58" s="6">
        <f>62540000*2+2720000</f>
        <v>127800000</v>
      </c>
      <c r="E58" t="s">
        <v>701</v>
      </c>
      <c r="F58" t="s">
        <v>1265</v>
      </c>
      <c r="G58" t="s">
        <v>1352</v>
      </c>
      <c r="H58" t="s">
        <v>702</v>
      </c>
      <c r="I58" t="s">
        <v>763</v>
      </c>
      <c r="J58" s="28">
        <v>42704</v>
      </c>
      <c r="K58" t="s">
        <v>993</v>
      </c>
      <c r="L58" t="s">
        <v>1552</v>
      </c>
      <c r="M58" t="s">
        <v>1394</v>
      </c>
      <c r="N58"/>
      <c r="O58" t="s">
        <v>1086</v>
      </c>
      <c r="P58" t="s">
        <v>1087</v>
      </c>
      <c r="Q58" t="s">
        <v>17</v>
      </c>
      <c r="R58" t="s">
        <v>18</v>
      </c>
      <c r="S58" t="s">
        <v>703</v>
      </c>
      <c r="T58">
        <f>2400/5</f>
        <v>480</v>
      </c>
      <c r="U58" s="2">
        <f>Table1[[#This Row],[Coal Power Plant Size (MW) or Share]]*0.593*9057*211.9*10^(-9)</f>
        <v>0.54627491131200012</v>
      </c>
      <c r="V58" s="2">
        <f>Table1[[#This Row],[Annual Emissions (MMTCO2)]]*40</f>
        <v>21.850996452480004</v>
      </c>
      <c r="W58"/>
      <c r="X58"/>
      <c r="Y58"/>
      <c r="Z58" s="1"/>
      <c r="AA58" s="1"/>
    </row>
    <row r="59" spans="1:27" ht="27" hidden="1" customHeight="1">
      <c r="A59" t="s">
        <v>45</v>
      </c>
      <c r="B59" t="s">
        <v>552</v>
      </c>
      <c r="C59" t="s">
        <v>552</v>
      </c>
      <c r="D59" s="6">
        <v>0</v>
      </c>
      <c r="E59"/>
      <c r="F59"/>
      <c r="G59"/>
      <c r="H59" t="s">
        <v>908</v>
      </c>
      <c r="I59" t="s">
        <v>907</v>
      </c>
      <c r="J59" s="28">
        <v>42736</v>
      </c>
      <c r="K59" t="s">
        <v>989</v>
      </c>
      <c r="L59" t="s">
        <v>78</v>
      </c>
      <c r="M59"/>
      <c r="N59"/>
      <c r="O59" t="s">
        <v>906</v>
      </c>
      <c r="P59"/>
      <c r="Q59" t="s">
        <v>17</v>
      </c>
      <c r="R59" t="s">
        <v>18</v>
      </c>
      <c r="S59" t="s">
        <v>1443</v>
      </c>
      <c r="T59"/>
      <c r="U59" s="2">
        <f>Table1[[#This Row],[Coal Power Plant Size (MW) or Share]]*0.593*9057*211.9*10^(-9)</f>
        <v>0</v>
      </c>
      <c r="V59" s="2">
        <f>Table1[[#This Row],[Annual Emissions (MMTCO2)]]*40</f>
        <v>0</v>
      </c>
      <c r="W59"/>
      <c r="X59"/>
      <c r="Y59"/>
      <c r="Z59" s="1"/>
      <c r="AA59" s="1"/>
    </row>
    <row r="60" spans="1:27" ht="27" hidden="1" customHeight="1">
      <c r="A60" t="s">
        <v>45</v>
      </c>
      <c r="B60" t="s">
        <v>802</v>
      </c>
      <c r="C60" t="s">
        <v>1465</v>
      </c>
      <c r="D60" s="6">
        <v>715000000</v>
      </c>
      <c r="E60" t="s">
        <v>1114</v>
      </c>
      <c r="F60" t="s">
        <v>1113</v>
      </c>
      <c r="G60"/>
      <c r="H60" t="s">
        <v>1173</v>
      </c>
      <c r="I60" t="s">
        <v>1115</v>
      </c>
      <c r="J60" s="28">
        <v>42736</v>
      </c>
      <c r="K60" t="s">
        <v>992</v>
      </c>
      <c r="L60" t="s">
        <v>104</v>
      </c>
      <c r="M60"/>
      <c r="N60" t="s">
        <v>1174</v>
      </c>
      <c r="O60" t="s">
        <v>1117</v>
      </c>
      <c r="P60"/>
      <c r="Q60" t="s">
        <v>17</v>
      </c>
      <c r="R60" t="s">
        <v>1116</v>
      </c>
      <c r="S60" t="s">
        <v>703</v>
      </c>
      <c r="T60">
        <v>350</v>
      </c>
      <c r="U60" s="2">
        <f>Table1[[#This Row],[Coal Power Plant Size (MW) or Share]]*0.593*9057*211.9*10^(-9)</f>
        <v>0.39832545616499998</v>
      </c>
      <c r="V60" s="2">
        <f>Table1[[#This Row],[Annual Emissions (MMTCO2)]]*40</f>
        <v>15.9330182466</v>
      </c>
      <c r="W60"/>
      <c r="X60"/>
      <c r="Y60"/>
      <c r="Z60" s="1"/>
      <c r="AA60" s="1"/>
    </row>
    <row r="61" spans="1:27" ht="27" hidden="1" customHeight="1">
      <c r="A61" t="s">
        <v>45</v>
      </c>
      <c r="B61" t="s">
        <v>802</v>
      </c>
      <c r="C61" t="s">
        <v>1465</v>
      </c>
      <c r="D61" s="6">
        <v>700000000</v>
      </c>
      <c r="E61" t="s">
        <v>1200</v>
      </c>
      <c r="F61"/>
      <c r="G61"/>
      <c r="H61" t="s">
        <v>1202</v>
      </c>
      <c r="I61" t="s">
        <v>1203</v>
      </c>
      <c r="J61" s="28">
        <v>42786</v>
      </c>
      <c r="K61" t="s">
        <v>991</v>
      </c>
      <c r="L61" t="s">
        <v>67</v>
      </c>
      <c r="M61"/>
      <c r="N61" t="s">
        <v>1201</v>
      </c>
      <c r="O61"/>
      <c r="P61"/>
      <c r="Q61" t="s">
        <v>17</v>
      </c>
      <c r="R61" t="s">
        <v>1454</v>
      </c>
      <c r="S61" t="s">
        <v>703</v>
      </c>
      <c r="T61"/>
      <c r="U61" s="2">
        <f>Table1[[#This Row],[Coal Power Plant Size (MW) or Share]]*0.593*9057*211.9*10^(-9)</f>
        <v>0</v>
      </c>
      <c r="V61" s="2">
        <f>Table1[[#This Row],[Annual Emissions (MMTCO2)]]*40</f>
        <v>0</v>
      </c>
      <c r="W61"/>
      <c r="X61"/>
      <c r="Y61"/>
      <c r="Z61" s="1"/>
      <c r="AA61" s="1"/>
    </row>
    <row r="62" spans="1:27" ht="27" hidden="1" customHeight="1">
      <c r="A62" t="s">
        <v>45</v>
      </c>
      <c r="B62" t="s">
        <v>125</v>
      </c>
      <c r="C62" t="s">
        <v>126</v>
      </c>
      <c r="D62" s="6">
        <v>125000000</v>
      </c>
      <c r="E62" t="s">
        <v>901</v>
      </c>
      <c r="F62"/>
      <c r="G62"/>
      <c r="H62" t="s">
        <v>1006</v>
      </c>
      <c r="I62" t="s">
        <v>549</v>
      </c>
      <c r="J62" s="28">
        <v>43100</v>
      </c>
      <c r="K62" t="s">
        <v>989</v>
      </c>
      <c r="L62" t="s">
        <v>78</v>
      </c>
      <c r="M62"/>
      <c r="N62" t="s">
        <v>1097</v>
      </c>
      <c r="O62" t="s">
        <v>900</v>
      </c>
      <c r="P62" t="s">
        <v>912</v>
      </c>
      <c r="Q62" t="s">
        <v>17</v>
      </c>
      <c r="R62" t="s">
        <v>18</v>
      </c>
      <c r="S62" t="s">
        <v>1007</v>
      </c>
      <c r="T62">
        <v>1320</v>
      </c>
      <c r="U62" s="2">
        <f>Table1[[#This Row],[Coal Power Plant Size (MW) or Share]]*0.593*9057*211.9*10^(-9)</f>
        <v>1.5022560061080001</v>
      </c>
      <c r="V62" s="2">
        <f>Table1[[#This Row],[Annual Emissions (MMTCO2)]]*40</f>
        <v>60.090240244320007</v>
      </c>
      <c r="W62"/>
      <c r="X62"/>
      <c r="Y62"/>
      <c r="Z62" s="1"/>
      <c r="AA62" s="1"/>
    </row>
    <row r="63" spans="1:27" ht="27" hidden="1" customHeight="1">
      <c r="A63" t="s">
        <v>45</v>
      </c>
      <c r="B63" t="s">
        <v>552</v>
      </c>
      <c r="C63" t="s">
        <v>552</v>
      </c>
      <c r="D63" s="6"/>
      <c r="E63" t="s">
        <v>1965</v>
      </c>
      <c r="F63"/>
      <c r="G63"/>
      <c r="H63" t="s">
        <v>1966</v>
      </c>
      <c r="I63" t="s">
        <v>1967</v>
      </c>
      <c r="J63" s="28">
        <v>54789</v>
      </c>
      <c r="K63" t="s">
        <v>989</v>
      </c>
      <c r="L63" t="s">
        <v>78</v>
      </c>
      <c r="M63"/>
      <c r="N63"/>
      <c r="O63"/>
      <c r="P63"/>
      <c r="Q63" t="s">
        <v>17</v>
      </c>
      <c r="R63"/>
      <c r="S63" t="s">
        <v>476</v>
      </c>
      <c r="T63">
        <v>300</v>
      </c>
      <c r="U63" s="2">
        <f>Table1[[#This Row],[Coal Power Plant Size (MW) or Share]]*0.593*9057*211.9*10^(-9)</f>
        <v>0.34142181957000001</v>
      </c>
      <c r="V63" s="2">
        <f>Table1[[#This Row],[Annual Emissions (MMTCO2)]]*40</f>
        <v>13.656872782800001</v>
      </c>
      <c r="W63"/>
      <c r="X63"/>
      <c r="Y63"/>
      <c r="Z63" s="1"/>
      <c r="AA63" s="1"/>
    </row>
    <row r="64" spans="1:27" ht="27" hidden="1" customHeight="1">
      <c r="A64" t="s">
        <v>45</v>
      </c>
      <c r="B64" t="s">
        <v>552</v>
      </c>
      <c r="C64" t="s">
        <v>552</v>
      </c>
      <c r="D64" s="6"/>
      <c r="E64" t="s">
        <v>1233</v>
      </c>
      <c r="F64" t="s">
        <v>1232</v>
      </c>
      <c r="G64"/>
      <c r="H64" t="s">
        <v>1231</v>
      </c>
      <c r="I64" t="s">
        <v>1167</v>
      </c>
      <c r="J64" s="28">
        <v>54789</v>
      </c>
      <c r="K64" t="s">
        <v>989</v>
      </c>
      <c r="L64" t="s">
        <v>97</v>
      </c>
      <c r="M64" t="s">
        <v>1234</v>
      </c>
      <c r="N64"/>
      <c r="O64"/>
      <c r="P64"/>
      <c r="Q64" t="s">
        <v>17</v>
      </c>
      <c r="R64" t="s">
        <v>456</v>
      </c>
      <c r="S64" t="s">
        <v>476</v>
      </c>
      <c r="T64">
        <v>350</v>
      </c>
      <c r="U64" s="2">
        <f>Table1[[#This Row],[Coal Power Plant Size (MW) or Share]]*0.593*9057*211.9*10^(-9)</f>
        <v>0.39832545616499998</v>
      </c>
      <c r="V64" s="2">
        <f>Table1[[#This Row],[Annual Emissions (MMTCO2)]]*40</f>
        <v>15.9330182466</v>
      </c>
      <c r="W64"/>
      <c r="X64"/>
      <c r="Y64"/>
      <c r="Z64" s="1"/>
      <c r="AA64" s="1"/>
    </row>
    <row r="65" spans="1:27" ht="27" hidden="1" customHeight="1">
      <c r="A65" t="s">
        <v>45</v>
      </c>
      <c r="B65" t="s">
        <v>552</v>
      </c>
      <c r="C65" t="s">
        <v>552</v>
      </c>
      <c r="D65" s="6"/>
      <c r="E65" t="s">
        <v>1227</v>
      </c>
      <c r="F65" t="s">
        <v>1229</v>
      </c>
      <c r="G65"/>
      <c r="H65" t="s">
        <v>1228</v>
      </c>
      <c r="I65" t="s">
        <v>1167</v>
      </c>
      <c r="J65" s="28">
        <v>54789</v>
      </c>
      <c r="K65" t="s">
        <v>989</v>
      </c>
      <c r="L65" t="s">
        <v>97</v>
      </c>
      <c r="M65" t="s">
        <v>1230</v>
      </c>
      <c r="N65"/>
      <c r="O65"/>
      <c r="P65"/>
      <c r="Q65" t="s">
        <v>17</v>
      </c>
      <c r="R65" t="s">
        <v>456</v>
      </c>
      <c r="S65" t="s">
        <v>476</v>
      </c>
      <c r="T65">
        <v>1320</v>
      </c>
      <c r="U65" s="2">
        <f>Table1[[#This Row],[Coal Power Plant Size (MW) or Share]]*0.593*9057*211.9*10^(-9)</f>
        <v>1.5022560061080001</v>
      </c>
      <c r="V65" s="2">
        <f>Table1[[#This Row],[Annual Emissions (MMTCO2)]]*40</f>
        <v>60.090240244320007</v>
      </c>
      <c r="W65"/>
      <c r="X65"/>
      <c r="Y65"/>
      <c r="Z65" s="1"/>
      <c r="AA65" s="1"/>
    </row>
    <row r="66" spans="1:27" ht="27" hidden="1" customHeight="1">
      <c r="A66" t="s">
        <v>45</v>
      </c>
      <c r="B66" t="s">
        <v>552</v>
      </c>
      <c r="C66" t="s">
        <v>552</v>
      </c>
      <c r="D66" s="6"/>
      <c r="E66" t="s">
        <v>1219</v>
      </c>
      <c r="F66" t="s">
        <v>1220</v>
      </c>
      <c r="G66"/>
      <c r="H66" t="s">
        <v>1224</v>
      </c>
      <c r="I66" t="s">
        <v>1223</v>
      </c>
      <c r="J66" s="28">
        <v>54789</v>
      </c>
      <c r="K66" t="s">
        <v>989</v>
      </c>
      <c r="L66" t="s">
        <v>97</v>
      </c>
      <c r="M66" t="s">
        <v>1222</v>
      </c>
      <c r="N66" t="s">
        <v>1221</v>
      </c>
      <c r="O66"/>
      <c r="P66"/>
      <c r="Q66" t="s">
        <v>17</v>
      </c>
      <c r="R66" t="s">
        <v>456</v>
      </c>
      <c r="S66" t="s">
        <v>476</v>
      </c>
      <c r="T66">
        <v>1320</v>
      </c>
      <c r="U66" s="2">
        <f>Table1[[#This Row],[Coal Power Plant Size (MW) or Share]]*0.593*9057*211.9*10^(-9)</f>
        <v>1.5022560061080001</v>
      </c>
      <c r="V66" s="2">
        <f>Table1[[#This Row],[Annual Emissions (MMTCO2)]]*40</f>
        <v>60.090240244320007</v>
      </c>
      <c r="W66"/>
      <c r="X66"/>
      <c r="Y66"/>
      <c r="Z66" s="1"/>
      <c r="AA66" s="1"/>
    </row>
    <row r="67" spans="1:27" ht="27" hidden="1" customHeight="1">
      <c r="A67" t="s">
        <v>45</v>
      </c>
      <c r="B67" t="s">
        <v>802</v>
      </c>
      <c r="C67" t="s">
        <v>1465</v>
      </c>
      <c r="D67" s="6">
        <v>1739000000</v>
      </c>
      <c r="E67" t="s">
        <v>829</v>
      </c>
      <c r="F67" t="s">
        <v>830</v>
      </c>
      <c r="G67"/>
      <c r="H67" t="s">
        <v>1190</v>
      </c>
      <c r="I67" t="s">
        <v>1216</v>
      </c>
      <c r="J67" s="28">
        <v>54789</v>
      </c>
      <c r="K67" t="s">
        <v>989</v>
      </c>
      <c r="L67" t="s">
        <v>97</v>
      </c>
      <c r="M67" t="s">
        <v>1218</v>
      </c>
      <c r="N67" t="s">
        <v>787</v>
      </c>
      <c r="O67" t="s">
        <v>786</v>
      </c>
      <c r="P67" t="s">
        <v>1217</v>
      </c>
      <c r="Q67" t="s">
        <v>17</v>
      </c>
      <c r="R67" t="s">
        <v>18</v>
      </c>
      <c r="S67" t="s">
        <v>476</v>
      </c>
      <c r="T67">
        <f>660*2</f>
        <v>1320</v>
      </c>
      <c r="U67" s="2">
        <f>Table1[[#This Row],[Coal Power Plant Size (MW) or Share]]*0.593*9057*211.9*10^(-9)</f>
        <v>1.5022560061080001</v>
      </c>
      <c r="V67" s="2">
        <f>Table1[[#This Row],[Annual Emissions (MMTCO2)]]*40</f>
        <v>60.090240244320007</v>
      </c>
      <c r="W67"/>
      <c r="X67"/>
      <c r="Y67"/>
      <c r="Z67" s="1"/>
      <c r="AA67" s="1"/>
    </row>
    <row r="68" spans="1:27" ht="27" hidden="1" customHeight="1">
      <c r="A68" t="s">
        <v>45</v>
      </c>
      <c r="B68" t="s">
        <v>802</v>
      </c>
      <c r="C68" t="s">
        <v>1465</v>
      </c>
      <c r="D68" s="6"/>
      <c r="E68" t="s">
        <v>859</v>
      </c>
      <c r="F68"/>
      <c r="G68" t="s">
        <v>45</v>
      </c>
      <c r="H68" t="s">
        <v>1195</v>
      </c>
      <c r="I68"/>
      <c r="J68" s="28">
        <v>54789</v>
      </c>
      <c r="K68" t="s">
        <v>989</v>
      </c>
      <c r="L68" t="s">
        <v>97</v>
      </c>
      <c r="M68" t="s">
        <v>1236</v>
      </c>
      <c r="N68" t="s">
        <v>956</v>
      </c>
      <c r="O68"/>
      <c r="P68"/>
      <c r="Q68" t="s">
        <v>17</v>
      </c>
      <c r="R68" t="s">
        <v>1197</v>
      </c>
      <c r="S68" t="s">
        <v>1196</v>
      </c>
      <c r="T68">
        <v>1320</v>
      </c>
      <c r="U68" s="2">
        <f>Table1[[#This Row],[Coal Power Plant Size (MW) or Share]]*0.593*9057*211.9*10^(-9)</f>
        <v>1.5022560061080001</v>
      </c>
      <c r="V68" s="2">
        <f>Table1[[#This Row],[Annual Emissions (MMTCO2)]]*40</f>
        <v>60.090240244320007</v>
      </c>
      <c r="W68"/>
      <c r="X68"/>
      <c r="Y68"/>
      <c r="Z68" s="1"/>
      <c r="AA68" s="1"/>
    </row>
    <row r="69" spans="1:27" ht="27" hidden="1" customHeight="1">
      <c r="A69" t="s">
        <v>45</v>
      </c>
      <c r="B69" t="s">
        <v>802</v>
      </c>
      <c r="C69" t="s">
        <v>1465</v>
      </c>
      <c r="D69" s="6">
        <v>881880000</v>
      </c>
      <c r="E69" t="s">
        <v>815</v>
      </c>
      <c r="F69" t="s">
        <v>1244</v>
      </c>
      <c r="G69" t="s">
        <v>1243</v>
      </c>
      <c r="H69" t="s">
        <v>1242</v>
      </c>
      <c r="I69" t="s">
        <v>457</v>
      </c>
      <c r="J69" s="28">
        <v>54789</v>
      </c>
      <c r="K69" t="s">
        <v>992</v>
      </c>
      <c r="L69" t="s">
        <v>131</v>
      </c>
      <c r="M69" t="s">
        <v>1245</v>
      </c>
      <c r="N69" t="s">
        <v>458</v>
      </c>
      <c r="O69" t="s">
        <v>816</v>
      </c>
      <c r="P69"/>
      <c r="Q69" t="s">
        <v>17</v>
      </c>
      <c r="R69" t="s">
        <v>18</v>
      </c>
      <c r="S69" t="s">
        <v>476</v>
      </c>
      <c r="T69">
        <v>450</v>
      </c>
      <c r="U69" s="2">
        <f>Table1[[#This Row],[Coal Power Plant Size (MW) or Share]]*0.593*9057*211.9*10^(-9)</f>
        <v>0.51213272935499998</v>
      </c>
      <c r="V69" s="2">
        <f>Table1[[#This Row],[Annual Emissions (MMTCO2)]]*40</f>
        <v>20.485309174199998</v>
      </c>
      <c r="W69"/>
      <c r="X69"/>
      <c r="Y69"/>
      <c r="Z69" s="1"/>
      <c r="AA69" s="1"/>
    </row>
    <row r="70" spans="1:27" ht="27" hidden="1" customHeight="1">
      <c r="A70" t="s">
        <v>45</v>
      </c>
      <c r="B70" t="s">
        <v>1120</v>
      </c>
      <c r="C70" t="s">
        <v>1465</v>
      </c>
      <c r="D70" s="6"/>
      <c r="E70" t="s">
        <v>1237</v>
      </c>
      <c r="F70" t="s">
        <v>447</v>
      </c>
      <c r="G70" t="s">
        <v>447</v>
      </c>
      <c r="H70" t="s">
        <v>986</v>
      </c>
      <c r="I70" t="s">
        <v>985</v>
      </c>
      <c r="J70" s="28">
        <v>54789</v>
      </c>
      <c r="K70" t="s">
        <v>992</v>
      </c>
      <c r="L70" t="s">
        <v>131</v>
      </c>
      <c r="M70" t="s">
        <v>1238</v>
      </c>
      <c r="N70" t="s">
        <v>1039</v>
      </c>
      <c r="O70" t="s">
        <v>700</v>
      </c>
      <c r="P70" t="s">
        <v>1040</v>
      </c>
      <c r="Q70" t="s">
        <v>17</v>
      </c>
      <c r="R70" t="s">
        <v>18</v>
      </c>
      <c r="S70" t="s">
        <v>476</v>
      </c>
      <c r="T70">
        <v>350</v>
      </c>
      <c r="U70" s="2">
        <f>Table1[[#This Row],[Coal Power Plant Size (MW) or Share]]*0.593*9057*211.9*10^(-9)</f>
        <v>0.39832545616499998</v>
      </c>
      <c r="V70" s="2">
        <f>Table1[[#This Row],[Annual Emissions (MMTCO2)]]*40</f>
        <v>15.9330182466</v>
      </c>
      <c r="W70"/>
      <c r="X70"/>
      <c r="Y70"/>
      <c r="Z70" s="1"/>
      <c r="AA70" s="1"/>
    </row>
    <row r="71" spans="1:27" ht="27" hidden="1" customHeight="1">
      <c r="A71" t="s">
        <v>45</v>
      </c>
      <c r="B71" t="s">
        <v>125</v>
      </c>
      <c r="C71" t="s">
        <v>126</v>
      </c>
      <c r="D71" s="6">
        <v>782250000</v>
      </c>
      <c r="E71" t="s">
        <v>1239</v>
      </c>
      <c r="F71" t="s">
        <v>462</v>
      </c>
      <c r="G71"/>
      <c r="H71" t="s">
        <v>1240</v>
      </c>
      <c r="I71" t="s">
        <v>463</v>
      </c>
      <c r="J71" s="28">
        <v>54789</v>
      </c>
      <c r="K71" t="s">
        <v>992</v>
      </c>
      <c r="L71" t="s">
        <v>131</v>
      </c>
      <c r="M71" t="s">
        <v>1241</v>
      </c>
      <c r="N71" t="s">
        <v>987</v>
      </c>
      <c r="O71" t="s">
        <v>464</v>
      </c>
      <c r="P71" t="s">
        <v>984</v>
      </c>
      <c r="Q71" t="s">
        <v>17</v>
      </c>
      <c r="R71" t="s">
        <v>353</v>
      </c>
      <c r="S71" t="s">
        <v>476</v>
      </c>
      <c r="T71">
        <v>600</v>
      </c>
      <c r="U71" s="2">
        <f>Table1[[#This Row],[Coal Power Plant Size (MW) or Share]]*0.593*9057*211.9*10^(-9)</f>
        <v>0.68284363914000001</v>
      </c>
      <c r="V71" s="2">
        <f>Table1[[#This Row],[Annual Emissions (MMTCO2)]]*40</f>
        <v>27.313745565600001</v>
      </c>
      <c r="W71"/>
      <c r="X71"/>
      <c r="Y71"/>
      <c r="Z71" s="1"/>
      <c r="AA71" s="1"/>
    </row>
    <row r="72" spans="1:27" ht="27" hidden="1" customHeight="1">
      <c r="A72" t="s">
        <v>45</v>
      </c>
      <c r="B72" t="s">
        <v>552</v>
      </c>
      <c r="C72" t="s">
        <v>552</v>
      </c>
      <c r="D72" s="6"/>
      <c r="E72" t="s">
        <v>717</v>
      </c>
      <c r="F72"/>
      <c r="G72"/>
      <c r="H72" t="s">
        <v>1034</v>
      </c>
      <c r="I72" t="s">
        <v>1030</v>
      </c>
      <c r="J72" s="28">
        <v>54789</v>
      </c>
      <c r="K72" t="s">
        <v>990</v>
      </c>
      <c r="L72" t="s">
        <v>25</v>
      </c>
      <c r="M72" t="s">
        <v>1024</v>
      </c>
      <c r="N72" t="s">
        <v>1023</v>
      </c>
      <c r="O72" t="s">
        <v>718</v>
      </c>
      <c r="P72" t="s">
        <v>1025</v>
      </c>
      <c r="Q72" t="s">
        <v>17</v>
      </c>
      <c r="R72" t="s">
        <v>18</v>
      </c>
      <c r="S72" t="s">
        <v>476</v>
      </c>
      <c r="T72">
        <v>300</v>
      </c>
      <c r="U72" s="2">
        <f>Table1[[#This Row],[Coal Power Plant Size (MW) or Share]]*0.593*9057*211.9*10^(-9)</f>
        <v>0.34142181957000001</v>
      </c>
      <c r="V72" s="2">
        <f>Table1[[#This Row],[Annual Emissions (MMTCO2)]]*40</f>
        <v>13.656872782800001</v>
      </c>
      <c r="W72"/>
      <c r="X72"/>
      <c r="Y72"/>
      <c r="Z72" s="1"/>
      <c r="AA72" s="1"/>
    </row>
    <row r="73" spans="1:27" ht="27" hidden="1" customHeight="1">
      <c r="A73" t="s">
        <v>45</v>
      </c>
      <c r="B73" t="s">
        <v>552</v>
      </c>
      <c r="C73" t="s">
        <v>552</v>
      </c>
      <c r="D73" s="6">
        <v>1600000000</v>
      </c>
      <c r="E73" t="s">
        <v>719</v>
      </c>
      <c r="F73"/>
      <c r="G73"/>
      <c r="H73" t="s">
        <v>1032</v>
      </c>
      <c r="I73" t="s">
        <v>720</v>
      </c>
      <c r="J73" s="28">
        <v>54789</v>
      </c>
      <c r="K73" t="s">
        <v>990</v>
      </c>
      <c r="L73" t="s">
        <v>25</v>
      </c>
      <c r="M73" t="s">
        <v>1031</v>
      </c>
      <c r="N73"/>
      <c r="O73" t="s">
        <v>721</v>
      </c>
      <c r="P73" t="s">
        <v>1030</v>
      </c>
      <c r="Q73" t="s">
        <v>17</v>
      </c>
      <c r="R73" t="s">
        <v>18</v>
      </c>
      <c r="S73" t="s">
        <v>1196</v>
      </c>
      <c r="T73">
        <v>300</v>
      </c>
      <c r="U73" s="2">
        <f>Table1[[#This Row],[Coal Power Plant Size (MW) or Share]]*0.593*9057*211.9*10^(-9)</f>
        <v>0.34142181957000001</v>
      </c>
      <c r="V73" s="2">
        <f>Table1[[#This Row],[Annual Emissions (MMTCO2)]]*40</f>
        <v>13.656872782800001</v>
      </c>
      <c r="W73"/>
      <c r="X73"/>
      <c r="Y73"/>
      <c r="Z73" s="1"/>
      <c r="AA73" s="1"/>
    </row>
    <row r="74" spans="1:27" ht="27" hidden="1" customHeight="1">
      <c r="A74" t="s">
        <v>45</v>
      </c>
      <c r="B74" t="s">
        <v>552</v>
      </c>
      <c r="C74" t="s">
        <v>552</v>
      </c>
      <c r="D74" s="6"/>
      <c r="E74" t="s">
        <v>1026</v>
      </c>
      <c r="F74" t="s">
        <v>1027</v>
      </c>
      <c r="G74"/>
      <c r="H74" t="s">
        <v>1033</v>
      </c>
      <c r="I74" t="s">
        <v>1030</v>
      </c>
      <c r="J74" s="28">
        <v>54789</v>
      </c>
      <c r="K74" t="s">
        <v>990</v>
      </c>
      <c r="L74" t="s">
        <v>25</v>
      </c>
      <c r="M74" t="s">
        <v>1029</v>
      </c>
      <c r="N74" t="s">
        <v>1028</v>
      </c>
      <c r="O74"/>
      <c r="P74" t="s">
        <v>1030</v>
      </c>
      <c r="Q74" t="s">
        <v>17</v>
      </c>
      <c r="R74" t="s">
        <v>18</v>
      </c>
      <c r="S74" t="s">
        <v>476</v>
      </c>
      <c r="T74">
        <v>300</v>
      </c>
      <c r="U74" s="2">
        <f>Table1[[#This Row],[Coal Power Plant Size (MW) or Share]]*0.593*9057*211.9*10^(-9)</f>
        <v>0.34142181957000001</v>
      </c>
      <c r="V74" s="2">
        <f>Table1[[#This Row],[Annual Emissions (MMTCO2)]]*40</f>
        <v>13.656872782800001</v>
      </c>
      <c r="W74"/>
      <c r="X74"/>
      <c r="Y74"/>
      <c r="Z74" s="1"/>
      <c r="AA74" s="1"/>
    </row>
    <row r="75" spans="1:27" s="25" customFormat="1" ht="27" hidden="1" customHeight="1">
      <c r="A75" t="s">
        <v>45</v>
      </c>
      <c r="B75" t="s">
        <v>125</v>
      </c>
      <c r="C75" t="s">
        <v>126</v>
      </c>
      <c r="D75" s="6">
        <v>984000000</v>
      </c>
      <c r="E75" t="s">
        <v>1038</v>
      </c>
      <c r="F75" t="s">
        <v>1248</v>
      </c>
      <c r="G75"/>
      <c r="H75" t="s">
        <v>1037</v>
      </c>
      <c r="I75" t="s">
        <v>1036</v>
      </c>
      <c r="J75" s="28">
        <v>54789</v>
      </c>
      <c r="K75" t="s">
        <v>990</v>
      </c>
      <c r="L75" t="s">
        <v>25</v>
      </c>
      <c r="M75" t="s">
        <v>1249</v>
      </c>
      <c r="N75"/>
      <c r="O75" t="s">
        <v>155</v>
      </c>
      <c r="P75" t="s">
        <v>1035</v>
      </c>
      <c r="Q75" t="s">
        <v>17</v>
      </c>
      <c r="R75" t="s">
        <v>18</v>
      </c>
      <c r="S75" t="s">
        <v>1196</v>
      </c>
      <c r="T75">
        <v>600</v>
      </c>
      <c r="U75" s="2">
        <f>Table1[[#This Row],[Coal Power Plant Size (MW) or Share]]*0.593*9057*211.9*10^(-9)</f>
        <v>0.68284363914000001</v>
      </c>
      <c r="V75" s="2">
        <f>Table1[[#This Row],[Annual Emissions (MMTCO2)]]*40</f>
        <v>27.313745565600001</v>
      </c>
      <c r="W75"/>
      <c r="X75"/>
      <c r="Y75"/>
    </row>
    <row r="76" spans="1:27" ht="27" hidden="1" customHeight="1">
      <c r="A76" t="s">
        <v>45</v>
      </c>
      <c r="B76" t="s">
        <v>552</v>
      </c>
      <c r="C76" t="s">
        <v>552</v>
      </c>
      <c r="D76" s="6"/>
      <c r="E76" t="s">
        <v>1250</v>
      </c>
      <c r="F76" t="s">
        <v>1251</v>
      </c>
      <c r="G76"/>
      <c r="H76" t="s">
        <v>1252</v>
      </c>
      <c r="I76" t="s">
        <v>1167</v>
      </c>
      <c r="J76" s="28">
        <v>54789</v>
      </c>
      <c r="K76" t="s">
        <v>991</v>
      </c>
      <c r="L76" t="s">
        <v>706</v>
      </c>
      <c r="M76" t="s">
        <v>1253</v>
      </c>
      <c r="N76"/>
      <c r="O76"/>
      <c r="P76"/>
      <c r="Q76" t="s">
        <v>17</v>
      </c>
      <c r="R76" t="s">
        <v>18</v>
      </c>
      <c r="S76" t="s">
        <v>476</v>
      </c>
      <c r="T76">
        <v>1830</v>
      </c>
      <c r="U76" s="2">
        <f>Table1[[#This Row],[Coal Power Plant Size (MW) or Share]]*0.593*9057*211.9*10^(-9)</f>
        <v>2.0826730993770002</v>
      </c>
      <c r="V76" s="2">
        <f>Table1[[#This Row],[Annual Emissions (MMTCO2)]]*40</f>
        <v>83.306923975080011</v>
      </c>
      <c r="W76"/>
      <c r="X76"/>
      <c r="Y76"/>
      <c r="Z76" s="1"/>
      <c r="AA76" s="1"/>
    </row>
    <row r="77" spans="1:27" ht="27" hidden="1" customHeight="1">
      <c r="A77" t="s">
        <v>45</v>
      </c>
      <c r="B77" t="s">
        <v>552</v>
      </c>
      <c r="C77" t="s">
        <v>552</v>
      </c>
      <c r="D77" s="6"/>
      <c r="E77" t="s">
        <v>1041</v>
      </c>
      <c r="F77"/>
      <c r="G77"/>
      <c r="H77" t="s">
        <v>779</v>
      </c>
      <c r="I77" t="s">
        <v>780</v>
      </c>
      <c r="J77" s="28">
        <v>54789</v>
      </c>
      <c r="K77" t="s">
        <v>990</v>
      </c>
      <c r="L77" t="s">
        <v>305</v>
      </c>
      <c r="M77"/>
      <c r="N77" t="s">
        <v>778</v>
      </c>
      <c r="O77"/>
      <c r="P77"/>
      <c r="Q77" t="s">
        <v>17</v>
      </c>
      <c r="R77" t="s">
        <v>18</v>
      </c>
      <c r="S77" t="s">
        <v>476</v>
      </c>
      <c r="T77">
        <v>300</v>
      </c>
      <c r="U77" s="2">
        <f>Table1[[#This Row],[Coal Power Plant Size (MW) or Share]]*0.593*9057*211.9*10^(-9)</f>
        <v>0.34142181957000001</v>
      </c>
      <c r="V77" s="2">
        <f>Table1[[#This Row],[Annual Emissions (MMTCO2)]]*40</f>
        <v>13.656872782800001</v>
      </c>
      <c r="W77"/>
      <c r="X77"/>
      <c r="Y77"/>
      <c r="Z77" s="1"/>
      <c r="AA77" s="1"/>
    </row>
    <row r="78" spans="1:27" ht="27" hidden="1" customHeight="1">
      <c r="A78" t="s">
        <v>45</v>
      </c>
      <c r="B78" t="s">
        <v>802</v>
      </c>
      <c r="C78" t="s">
        <v>1465</v>
      </c>
      <c r="D78" s="6"/>
      <c r="E78"/>
      <c r="F78" t="s">
        <v>856</v>
      </c>
      <c r="G78"/>
      <c r="H78" t="s">
        <v>1144</v>
      </c>
      <c r="I78" t="s">
        <v>806</v>
      </c>
      <c r="J78" s="28">
        <v>54789</v>
      </c>
      <c r="K78" t="s">
        <v>993</v>
      </c>
      <c r="L78" t="s">
        <v>213</v>
      </c>
      <c r="M78"/>
      <c r="N78" t="s">
        <v>857</v>
      </c>
      <c r="O78" t="s">
        <v>1143</v>
      </c>
      <c r="P78"/>
      <c r="Q78" t="s">
        <v>17</v>
      </c>
      <c r="R78" t="s">
        <v>18</v>
      </c>
      <c r="S78" t="s">
        <v>476</v>
      </c>
      <c r="T78">
        <f>6510/3</f>
        <v>2170</v>
      </c>
      <c r="U78" s="2">
        <f>Table1[[#This Row],[Coal Power Plant Size (MW) or Share]]*0.593*9057*211.9*10^(-9)</f>
        <v>2.4696178282230004</v>
      </c>
      <c r="V78" s="2">
        <f>Table1[[#This Row],[Annual Emissions (MMTCO2)]]*40</f>
        <v>98.784713128920018</v>
      </c>
      <c r="W78"/>
      <c r="X78"/>
      <c r="Y78"/>
      <c r="Z78" s="1"/>
      <c r="AA78" s="1"/>
    </row>
    <row r="79" spans="1:27" ht="27" hidden="1" customHeight="1">
      <c r="A79" t="s">
        <v>45</v>
      </c>
      <c r="B79" t="s">
        <v>125</v>
      </c>
      <c r="C79" t="s">
        <v>126</v>
      </c>
      <c r="D79" s="6"/>
      <c r="E79"/>
      <c r="F79" t="s">
        <v>856</v>
      </c>
      <c r="G79"/>
      <c r="H79" t="s">
        <v>1144</v>
      </c>
      <c r="I79" t="s">
        <v>806</v>
      </c>
      <c r="J79" s="28">
        <v>54789</v>
      </c>
      <c r="K79" t="s">
        <v>993</v>
      </c>
      <c r="L79" t="s">
        <v>213</v>
      </c>
      <c r="M79"/>
      <c r="N79" t="s">
        <v>857</v>
      </c>
      <c r="O79" t="s">
        <v>1143</v>
      </c>
      <c r="P79"/>
      <c r="Q79" t="s">
        <v>17</v>
      </c>
      <c r="R79" t="s">
        <v>18</v>
      </c>
      <c r="S79" t="s">
        <v>476</v>
      </c>
      <c r="T79">
        <f>6510/3</f>
        <v>2170</v>
      </c>
      <c r="U79" s="2">
        <f>Table1[[#This Row],[Coal Power Plant Size (MW) or Share]]*0.593*9057*211.9*10^(-9)</f>
        <v>2.4696178282230004</v>
      </c>
      <c r="V79" s="2">
        <f>Table1[[#This Row],[Annual Emissions (MMTCO2)]]*40</f>
        <v>98.784713128920018</v>
      </c>
      <c r="W79"/>
      <c r="X79"/>
      <c r="Y79"/>
      <c r="Z79" s="1"/>
      <c r="AA79" s="1"/>
    </row>
    <row r="80" spans="1:27" ht="27" hidden="1" customHeight="1">
      <c r="A80" t="s">
        <v>45</v>
      </c>
      <c r="B80" t="s">
        <v>1447</v>
      </c>
      <c r="C80" t="s">
        <v>1465</v>
      </c>
      <c r="D80" s="6"/>
      <c r="E80" t="s">
        <v>812</v>
      </c>
      <c r="F80" t="s">
        <v>848</v>
      </c>
      <c r="G80"/>
      <c r="H80" t="s">
        <v>849</v>
      </c>
      <c r="I80" t="s">
        <v>806</v>
      </c>
      <c r="J80" s="28">
        <v>54789</v>
      </c>
      <c r="K80" t="s">
        <v>993</v>
      </c>
      <c r="L80" t="s">
        <v>213</v>
      </c>
      <c r="M80" t="s">
        <v>1147</v>
      </c>
      <c r="N80" t="s">
        <v>1164</v>
      </c>
      <c r="O80" t="s">
        <v>451</v>
      </c>
      <c r="P80" t="s">
        <v>1149</v>
      </c>
      <c r="Q80" t="s">
        <v>17</v>
      </c>
      <c r="R80" t="s">
        <v>449</v>
      </c>
      <c r="S80" t="s">
        <v>476</v>
      </c>
      <c r="T80">
        <v>1320</v>
      </c>
      <c r="U80" s="2">
        <f>Table1[[#This Row],[Coal Power Plant Size (MW) or Share]]*0.593*9057*211.9*10^(-9)</f>
        <v>1.5022560061080001</v>
      </c>
      <c r="V80" s="2">
        <f>Table1[[#This Row],[Annual Emissions (MMTCO2)]]*40</f>
        <v>60.090240244320007</v>
      </c>
      <c r="W80"/>
      <c r="X80"/>
      <c r="Y80"/>
      <c r="Z80" s="1"/>
      <c r="AA80" s="1"/>
    </row>
    <row r="81" spans="1:27" ht="27" hidden="1" customHeight="1">
      <c r="A81" t="s">
        <v>45</v>
      </c>
      <c r="B81" t="s">
        <v>802</v>
      </c>
      <c r="C81" t="s">
        <v>1465</v>
      </c>
      <c r="D81" s="6">
        <f>3000000000/2</f>
        <v>1500000000</v>
      </c>
      <c r="E81" t="s">
        <v>812</v>
      </c>
      <c r="F81" t="s">
        <v>447</v>
      </c>
      <c r="G81"/>
      <c r="H81" t="s">
        <v>1148</v>
      </c>
      <c r="I81" t="s">
        <v>448</v>
      </c>
      <c r="J81" s="28">
        <v>54789</v>
      </c>
      <c r="K81" t="s">
        <v>993</v>
      </c>
      <c r="L81" t="s">
        <v>213</v>
      </c>
      <c r="M81" t="s">
        <v>1147</v>
      </c>
      <c r="N81" t="s">
        <v>450</v>
      </c>
      <c r="O81" t="s">
        <v>451</v>
      </c>
      <c r="P81"/>
      <c r="Q81" t="s">
        <v>17</v>
      </c>
      <c r="R81" t="s">
        <v>449</v>
      </c>
      <c r="S81" t="s">
        <v>476</v>
      </c>
      <c r="T81">
        <v>1320</v>
      </c>
      <c r="U81" s="2">
        <f>Table1[[#This Row],[Coal Power Plant Size (MW) or Share]]*0.593*9057*211.9*10^(-9)</f>
        <v>1.5022560061080001</v>
      </c>
      <c r="V81" s="2">
        <f>Table1[[#This Row],[Annual Emissions (MMTCO2)]]*40</f>
        <v>60.090240244320007</v>
      </c>
      <c r="W81"/>
      <c r="X81"/>
      <c r="Y81"/>
      <c r="Z81" s="1"/>
      <c r="AA81" s="1"/>
    </row>
    <row r="82" spans="1:27" ht="27" hidden="1" customHeight="1">
      <c r="A82" t="s">
        <v>45</v>
      </c>
      <c r="B82" t="s">
        <v>1120</v>
      </c>
      <c r="C82" t="s">
        <v>1465</v>
      </c>
      <c r="D82" s="6">
        <v>2000000000</v>
      </c>
      <c r="E82" t="s">
        <v>807</v>
      </c>
      <c r="F82" t="s">
        <v>447</v>
      </c>
      <c r="G82"/>
      <c r="H82" t="s">
        <v>809</v>
      </c>
      <c r="I82" t="s">
        <v>804</v>
      </c>
      <c r="J82" s="28">
        <v>54789</v>
      </c>
      <c r="K82" t="s">
        <v>993</v>
      </c>
      <c r="L82" t="s">
        <v>213</v>
      </c>
      <c r="M82" t="s">
        <v>1147</v>
      </c>
      <c r="N82" t="s">
        <v>805</v>
      </c>
      <c r="O82" t="s">
        <v>1095</v>
      </c>
      <c r="P82" t="s">
        <v>1143</v>
      </c>
      <c r="Q82" t="s">
        <v>17</v>
      </c>
      <c r="R82" t="s">
        <v>18</v>
      </c>
      <c r="S82" t="s">
        <v>476</v>
      </c>
      <c r="T82">
        <f>660*3</f>
        <v>1980</v>
      </c>
      <c r="U82" s="2">
        <f>Table1[[#This Row],[Coal Power Plant Size (MW) or Share]]*0.593*9057*211.9*10^(-9)</f>
        <v>2.2533840091619997</v>
      </c>
      <c r="V82" s="2">
        <f>Table1[[#This Row],[Annual Emissions (MMTCO2)]]*40</f>
        <v>90.135360366479986</v>
      </c>
      <c r="W82"/>
      <c r="X82"/>
      <c r="Y82"/>
      <c r="Z82" s="1"/>
      <c r="AA82" s="1"/>
    </row>
    <row r="83" spans="1:27" ht="27" hidden="1" customHeight="1">
      <c r="A83" t="s">
        <v>45</v>
      </c>
      <c r="B83" t="s">
        <v>1120</v>
      </c>
      <c r="C83" t="s">
        <v>1465</v>
      </c>
      <c r="D83" s="6"/>
      <c r="E83" t="s">
        <v>807</v>
      </c>
      <c r="F83" t="s">
        <v>447</v>
      </c>
      <c r="G83"/>
      <c r="H83" t="s">
        <v>808</v>
      </c>
      <c r="I83" t="s">
        <v>804</v>
      </c>
      <c r="J83" s="28">
        <v>54789</v>
      </c>
      <c r="K83" t="s">
        <v>993</v>
      </c>
      <c r="L83" t="s">
        <v>213</v>
      </c>
      <c r="M83" t="s">
        <v>1147</v>
      </c>
      <c r="N83" t="s">
        <v>805</v>
      </c>
      <c r="O83" t="s">
        <v>839</v>
      </c>
      <c r="P83" t="s">
        <v>1143</v>
      </c>
      <c r="Q83" t="s">
        <v>17</v>
      </c>
      <c r="R83" t="s">
        <v>18</v>
      </c>
      <c r="S83" t="s">
        <v>476</v>
      </c>
      <c r="T83">
        <f>660*3</f>
        <v>1980</v>
      </c>
      <c r="U83" s="2">
        <f>Table1[[#This Row],[Coal Power Plant Size (MW) or Share]]*0.593*9057*211.9*10^(-9)</f>
        <v>2.2533840091619997</v>
      </c>
      <c r="V83" s="2">
        <f>Table1[[#This Row],[Annual Emissions (MMTCO2)]]*40</f>
        <v>90.135360366479986</v>
      </c>
      <c r="W83"/>
      <c r="X83"/>
      <c r="Y83"/>
      <c r="Z83" s="1"/>
      <c r="AA83" s="1"/>
    </row>
    <row r="84" spans="1:27" ht="27" hidden="1" customHeight="1">
      <c r="A84" t="s">
        <v>45</v>
      </c>
      <c r="B84" t="s">
        <v>765</v>
      </c>
      <c r="C84" t="s">
        <v>552</v>
      </c>
      <c r="D84" s="6">
        <v>200000000</v>
      </c>
      <c r="E84" t="s">
        <v>845</v>
      </c>
      <c r="F84" t="s">
        <v>447</v>
      </c>
      <c r="G84"/>
      <c r="H84" t="s">
        <v>843</v>
      </c>
      <c r="I84" t="s">
        <v>841</v>
      </c>
      <c r="J84" s="28">
        <v>54789</v>
      </c>
      <c r="K84" t="s">
        <v>1451</v>
      </c>
      <c r="L84" t="s">
        <v>722</v>
      </c>
      <c r="M84"/>
      <c r="N84" t="s">
        <v>842</v>
      </c>
      <c r="O84" t="s">
        <v>844</v>
      </c>
      <c r="P84"/>
      <c r="Q84" t="s">
        <v>17</v>
      </c>
      <c r="R84" t="s">
        <v>449</v>
      </c>
      <c r="S84" t="s">
        <v>1196</v>
      </c>
      <c r="T84">
        <v>150</v>
      </c>
      <c r="U84" s="2">
        <f>Table1[[#This Row],[Coal Power Plant Size (MW) or Share]]*0.593*9057*211.9*10^(-9)</f>
        <v>0.170710909785</v>
      </c>
      <c r="V84" s="2">
        <f>Table1[[#This Row],[Annual Emissions (MMTCO2)]]*40</f>
        <v>6.8284363914000004</v>
      </c>
      <c r="W84"/>
      <c r="X84"/>
      <c r="Y84"/>
      <c r="Z84" s="1"/>
      <c r="AA84" s="1"/>
    </row>
    <row r="85" spans="1:27" ht="27" hidden="1" customHeight="1">
      <c r="A85" t="s">
        <v>45</v>
      </c>
      <c r="B85" t="s">
        <v>1123</v>
      </c>
      <c r="C85" t="s">
        <v>552</v>
      </c>
      <c r="D85" s="6"/>
      <c r="E85" t="s">
        <v>957</v>
      </c>
      <c r="F85" t="s">
        <v>958</v>
      </c>
      <c r="G85"/>
      <c r="H85" t="s">
        <v>962</v>
      </c>
      <c r="I85" t="s">
        <v>959</v>
      </c>
      <c r="J85" s="28">
        <v>54789</v>
      </c>
      <c r="K85" t="s">
        <v>1482</v>
      </c>
      <c r="L85" t="s">
        <v>708</v>
      </c>
      <c r="M85" t="s">
        <v>966</v>
      </c>
      <c r="N85" t="s">
        <v>960</v>
      </c>
      <c r="O85" t="s">
        <v>967</v>
      </c>
      <c r="P85" t="s">
        <v>1094</v>
      </c>
      <c r="Q85" t="s">
        <v>17</v>
      </c>
      <c r="R85" t="s">
        <v>961</v>
      </c>
      <c r="S85" t="s">
        <v>1196</v>
      </c>
      <c r="T85"/>
      <c r="U85" s="2">
        <f>Table1[[#This Row],[Coal Power Plant Size (MW) or Share]]*0.593*9057*211.9*10^(-9)</f>
        <v>0</v>
      </c>
      <c r="V85" s="2">
        <f>Table1[[#This Row],[Annual Emissions (MMTCO2)]]*40</f>
        <v>0</v>
      </c>
      <c r="W85"/>
      <c r="X85"/>
      <c r="Y85"/>
      <c r="Z85" s="1"/>
      <c r="AA85" s="1"/>
    </row>
    <row r="86" spans="1:27" ht="27" hidden="1" customHeight="1">
      <c r="A86" t="s">
        <v>45</v>
      </c>
      <c r="B86" t="s">
        <v>707</v>
      </c>
      <c r="C86" t="s">
        <v>126</v>
      </c>
      <c r="D86" s="6">
        <v>1500000000</v>
      </c>
      <c r="E86" t="s">
        <v>957</v>
      </c>
      <c r="F86" t="s">
        <v>958</v>
      </c>
      <c r="G86"/>
      <c r="H86" t="s">
        <v>968</v>
      </c>
      <c r="I86" t="s">
        <v>959</v>
      </c>
      <c r="J86" s="28">
        <v>54789</v>
      </c>
      <c r="K86" t="s">
        <v>1482</v>
      </c>
      <c r="L86" t="s">
        <v>708</v>
      </c>
      <c r="M86" t="s">
        <v>966</v>
      </c>
      <c r="N86" t="s">
        <v>1008</v>
      </c>
      <c r="O86" t="s">
        <v>967</v>
      </c>
      <c r="P86" t="s">
        <v>1094</v>
      </c>
      <c r="Q86" t="s">
        <v>17</v>
      </c>
      <c r="R86" t="s">
        <v>449</v>
      </c>
      <c r="S86" t="s">
        <v>1196</v>
      </c>
      <c r="T86">
        <v>700</v>
      </c>
      <c r="U86" s="2">
        <f>Table1[[#This Row],[Coal Power Plant Size (MW) or Share]]*0.593*9057*211.9*10^(-9)</f>
        <v>0.79665091232999996</v>
      </c>
      <c r="V86" s="2">
        <f>Table1[[#This Row],[Annual Emissions (MMTCO2)]]*40</f>
        <v>31.866036493199999</v>
      </c>
      <c r="W86"/>
      <c r="X86"/>
      <c r="Y86"/>
      <c r="Z86" s="1"/>
      <c r="AA86" s="1"/>
    </row>
    <row r="87" spans="1:27" ht="27" hidden="1" customHeight="1">
      <c r="A87" t="s">
        <v>45</v>
      </c>
      <c r="B87" t="s">
        <v>552</v>
      </c>
      <c r="C87" t="s">
        <v>552</v>
      </c>
      <c r="D87" s="6"/>
      <c r="E87" t="s">
        <v>1428</v>
      </c>
      <c r="F87" t="s">
        <v>1263</v>
      </c>
      <c r="G87"/>
      <c r="H87" t="s">
        <v>1429</v>
      </c>
      <c r="I87"/>
      <c r="J87" s="28">
        <v>54789</v>
      </c>
      <c r="K87" t="s">
        <v>992</v>
      </c>
      <c r="L87" t="s">
        <v>1264</v>
      </c>
      <c r="M87"/>
      <c r="N87" t="s">
        <v>1427</v>
      </c>
      <c r="O87" t="s">
        <v>1425</v>
      </c>
      <c r="P87" t="s">
        <v>1426</v>
      </c>
      <c r="Q87" t="s">
        <v>17</v>
      </c>
      <c r="R87"/>
      <c r="S87" t="s">
        <v>1196</v>
      </c>
      <c r="T87">
        <v>450</v>
      </c>
      <c r="U87" s="2">
        <f>Table1[[#This Row],[Coal Power Plant Size (MW) or Share]]*0.593*9057*211.9*10^(-9)</f>
        <v>0.51213272935499998</v>
      </c>
      <c r="V87" s="2">
        <f>Table1[[#This Row],[Annual Emissions (MMTCO2)]]*40</f>
        <v>20.485309174199998</v>
      </c>
      <c r="W87"/>
      <c r="X87"/>
      <c r="Y87"/>
      <c r="Z87" s="1"/>
      <c r="AA87" s="1"/>
    </row>
    <row r="88" spans="1:27" ht="27" hidden="1" customHeight="1">
      <c r="A88" t="s">
        <v>45</v>
      </c>
      <c r="B88" t="s">
        <v>125</v>
      </c>
      <c r="C88" t="s">
        <v>126</v>
      </c>
      <c r="D88" s="6">
        <v>500000000</v>
      </c>
      <c r="E88" t="s">
        <v>141</v>
      </c>
      <c r="F88"/>
      <c r="G88"/>
      <c r="H88" t="s">
        <v>469</v>
      </c>
      <c r="I88"/>
      <c r="J88" s="28">
        <v>54789</v>
      </c>
      <c r="K88" t="s">
        <v>991</v>
      </c>
      <c r="L88" t="s">
        <v>67</v>
      </c>
      <c r="M88" t="s">
        <v>887</v>
      </c>
      <c r="N88"/>
      <c r="O88" t="s">
        <v>470</v>
      </c>
      <c r="P88"/>
      <c r="Q88" t="s">
        <v>17</v>
      </c>
      <c r="R88" t="s">
        <v>18</v>
      </c>
      <c r="S88" t="s">
        <v>476</v>
      </c>
      <c r="T88">
        <v>400</v>
      </c>
      <c r="U88" s="2">
        <f>Table1[[#This Row],[Coal Power Plant Size (MW) or Share]]*0.593*9057*211.9*10^(-9)</f>
        <v>0.45522909276000001</v>
      </c>
      <c r="V88" s="2">
        <f>Table1[[#This Row],[Annual Emissions (MMTCO2)]]*40</f>
        <v>18.209163710399999</v>
      </c>
      <c r="W88"/>
      <c r="X88"/>
      <c r="Y88"/>
      <c r="Z88" s="1"/>
      <c r="AA88" s="1"/>
    </row>
    <row r="89" spans="1:27" ht="27" hidden="1" customHeight="1">
      <c r="A89" t="s">
        <v>45</v>
      </c>
      <c r="B89" t="s">
        <v>552</v>
      </c>
      <c r="C89" t="s">
        <v>552</v>
      </c>
      <c r="D89" s="6"/>
      <c r="E89" t="s">
        <v>1084</v>
      </c>
      <c r="F89"/>
      <c r="G89"/>
      <c r="H89" t="s">
        <v>742</v>
      </c>
      <c r="I89" t="s">
        <v>743</v>
      </c>
      <c r="J89" s="28">
        <v>54789</v>
      </c>
      <c r="K89" t="s">
        <v>991</v>
      </c>
      <c r="L89" t="s">
        <v>67</v>
      </c>
      <c r="M89" t="s">
        <v>1082</v>
      </c>
      <c r="N89"/>
      <c r="O89" t="s">
        <v>1083</v>
      </c>
      <c r="P89"/>
      <c r="Q89" t="s">
        <v>17</v>
      </c>
      <c r="R89" t="s">
        <v>18</v>
      </c>
      <c r="S89" t="s">
        <v>476</v>
      </c>
      <c r="T89">
        <v>200</v>
      </c>
      <c r="U89" s="2">
        <f>Table1[[#This Row],[Coal Power Plant Size (MW) or Share]]*0.593*9057*211.9*10^(-9)</f>
        <v>0.22761454638</v>
      </c>
      <c r="V89" s="2">
        <f>Table1[[#This Row],[Annual Emissions (MMTCO2)]]*40</f>
        <v>9.1045818551999993</v>
      </c>
      <c r="W89"/>
      <c r="X89"/>
      <c r="Y89"/>
      <c r="Z89" s="1"/>
      <c r="AA89" s="1"/>
    </row>
    <row r="90" spans="1:27" ht="27" hidden="1" customHeight="1">
      <c r="A90" t="s">
        <v>45</v>
      </c>
      <c r="B90" t="s">
        <v>552</v>
      </c>
      <c r="C90" t="s">
        <v>552</v>
      </c>
      <c r="D90" s="6">
        <v>1160000000</v>
      </c>
      <c r="E90" t="s">
        <v>1013</v>
      </c>
      <c r="F90" t="s">
        <v>704</v>
      </c>
      <c r="G90"/>
      <c r="H90" t="s">
        <v>1014</v>
      </c>
      <c r="I90" t="s">
        <v>724</v>
      </c>
      <c r="J90" s="28">
        <v>54789</v>
      </c>
      <c r="K90" t="s">
        <v>991</v>
      </c>
      <c r="L90" t="s">
        <v>67</v>
      </c>
      <c r="M90"/>
      <c r="N90" t="s">
        <v>725</v>
      </c>
      <c r="O90" t="s">
        <v>1015</v>
      </c>
      <c r="P90"/>
      <c r="Q90" t="s">
        <v>17</v>
      </c>
      <c r="R90" t="s">
        <v>449</v>
      </c>
      <c r="S90" t="s">
        <v>476</v>
      </c>
      <c r="T90">
        <v>600</v>
      </c>
      <c r="U90" s="2">
        <f>Table1[[#This Row],[Coal Power Plant Size (MW) or Share]]*0.593*9057*211.9*10^(-9)</f>
        <v>0.68284363914000001</v>
      </c>
      <c r="V90" s="2">
        <f>Table1[[#This Row],[Annual Emissions (MMTCO2)]]*40</f>
        <v>27.313745565600001</v>
      </c>
      <c r="W90"/>
      <c r="X90"/>
      <c r="Y90"/>
      <c r="Z90" s="1"/>
      <c r="AA90" s="1"/>
    </row>
    <row r="91" spans="1:27" ht="27" hidden="1" customHeight="1">
      <c r="A91" t="s">
        <v>45</v>
      </c>
      <c r="B91" t="s">
        <v>552</v>
      </c>
      <c r="C91" t="s">
        <v>552</v>
      </c>
      <c r="D91" s="6"/>
      <c r="E91" t="s">
        <v>1278</v>
      </c>
      <c r="F91" t="s">
        <v>1263</v>
      </c>
      <c r="G91"/>
      <c r="H91" t="s">
        <v>1424</v>
      </c>
      <c r="I91"/>
      <c r="J91" s="28">
        <v>54789</v>
      </c>
      <c r="K91" t="s">
        <v>991</v>
      </c>
      <c r="L91" t="s">
        <v>1279</v>
      </c>
      <c r="M91" t="s">
        <v>1283</v>
      </c>
      <c r="N91" t="s">
        <v>1423</v>
      </c>
      <c r="O91"/>
      <c r="P91"/>
      <c r="Q91" t="s">
        <v>17</v>
      </c>
      <c r="R91"/>
      <c r="S91" t="s">
        <v>1196</v>
      </c>
      <c r="T91">
        <v>625</v>
      </c>
      <c r="U91" s="2">
        <f>Table1[[#This Row],[Coal Power Plant Size (MW) or Share]]*0.593*9057*211.9*10^(-9)</f>
        <v>0.7112954574375</v>
      </c>
      <c r="V91" s="2">
        <f>Table1[[#This Row],[Annual Emissions (MMTCO2)]]*40</f>
        <v>28.451818297500001</v>
      </c>
      <c r="W91"/>
      <c r="X91"/>
      <c r="Y91"/>
      <c r="Z91" s="1"/>
      <c r="AA91" s="1"/>
    </row>
    <row r="92" spans="1:27" ht="27" hidden="1" customHeight="1">
      <c r="A92" t="s">
        <v>45</v>
      </c>
      <c r="C92" t="s">
        <v>552</v>
      </c>
      <c r="D92" s="6"/>
      <c r="E92" t="s">
        <v>1305</v>
      </c>
      <c r="F92" t="s">
        <v>1306</v>
      </c>
      <c r="G92" t="s">
        <v>1265</v>
      </c>
      <c r="H92" t="s">
        <v>1307</v>
      </c>
      <c r="I92" t="s">
        <v>1463</v>
      </c>
      <c r="J92" s="28">
        <v>54789</v>
      </c>
      <c r="K92" t="s">
        <v>1451</v>
      </c>
      <c r="L92" t="s">
        <v>1308</v>
      </c>
      <c r="M92" t="s">
        <v>1309</v>
      </c>
      <c r="N92"/>
      <c r="O92"/>
      <c r="P92"/>
      <c r="Q92" t="s">
        <v>17</v>
      </c>
      <c r="R92"/>
      <c r="S92" t="s">
        <v>1196</v>
      </c>
      <c r="T92">
        <v>150</v>
      </c>
      <c r="U92" s="2">
        <f>Table1[[#This Row],[Coal Power Plant Size (MW) or Share]]*0.593*9057*211.9*10^(-9)</f>
        <v>0.170710909785</v>
      </c>
      <c r="V92" s="2">
        <f>Table1[[#This Row],[Annual Emissions (MMTCO2)]]*40</f>
        <v>6.8284363914000004</v>
      </c>
      <c r="W92"/>
      <c r="X92"/>
      <c r="Y92"/>
      <c r="Z92" s="1"/>
      <c r="AA92" s="1"/>
    </row>
    <row r="93" spans="1:27" ht="27" hidden="1" customHeight="1">
      <c r="A93" t="s">
        <v>45</v>
      </c>
      <c r="C93" t="s">
        <v>552</v>
      </c>
      <c r="D93" s="6"/>
      <c r="E93" t="s">
        <v>1305</v>
      </c>
      <c r="F93" t="s">
        <v>1306</v>
      </c>
      <c r="G93" t="s">
        <v>1265</v>
      </c>
      <c r="H93" t="s">
        <v>1310</v>
      </c>
      <c r="I93" t="s">
        <v>1463</v>
      </c>
      <c r="J93" s="28">
        <v>54789</v>
      </c>
      <c r="K93" t="s">
        <v>1451</v>
      </c>
      <c r="L93" t="s">
        <v>1308</v>
      </c>
      <c r="M93" t="s">
        <v>1309</v>
      </c>
      <c r="N93"/>
      <c r="O93"/>
      <c r="P93"/>
      <c r="Q93" t="s">
        <v>17</v>
      </c>
      <c r="R93"/>
      <c r="S93" t="s">
        <v>1196</v>
      </c>
      <c r="T93">
        <v>150</v>
      </c>
      <c r="U93" s="2">
        <f>Table1[[#This Row],[Coal Power Plant Size (MW) or Share]]*0.593*9057*211.9*10^(-9)</f>
        <v>0.170710909785</v>
      </c>
      <c r="V93" s="2">
        <f>Table1[[#This Row],[Annual Emissions (MMTCO2)]]*40</f>
        <v>6.8284363914000004</v>
      </c>
      <c r="W93"/>
      <c r="X93"/>
      <c r="Y93"/>
      <c r="Z93" s="1"/>
      <c r="AA93" s="1"/>
    </row>
    <row r="94" spans="1:27" ht="27" hidden="1" customHeight="1">
      <c r="A94" t="s">
        <v>45</v>
      </c>
      <c r="B94" t="s">
        <v>802</v>
      </c>
      <c r="C94" t="s">
        <v>1465</v>
      </c>
      <c r="D94" s="6"/>
      <c r="E94" t="s">
        <v>891</v>
      </c>
      <c r="F94" t="s">
        <v>467</v>
      </c>
      <c r="G94"/>
      <c r="H94" t="s">
        <v>895</v>
      </c>
      <c r="I94" t="s">
        <v>896</v>
      </c>
      <c r="J94" s="28">
        <v>54789</v>
      </c>
      <c r="K94" t="s">
        <v>1482</v>
      </c>
      <c r="L94" t="s">
        <v>468</v>
      </c>
      <c r="M94" t="s">
        <v>894</v>
      </c>
      <c r="N94" t="s">
        <v>892</v>
      </c>
      <c r="O94" t="s">
        <v>890</v>
      </c>
      <c r="P94" t="s">
        <v>889</v>
      </c>
      <c r="Q94" t="s">
        <v>17</v>
      </c>
      <c r="R94" t="s">
        <v>18</v>
      </c>
      <c r="S94" t="s">
        <v>476</v>
      </c>
      <c r="T94">
        <v>700</v>
      </c>
      <c r="U94" s="2">
        <f>Table1[[#This Row],[Coal Power Plant Size (MW) or Share]]*0.593*9057*211.9*10^(-9)</f>
        <v>0.79665091232999996</v>
      </c>
      <c r="V94" s="2">
        <f>Table1[[#This Row],[Annual Emissions (MMTCO2)]]*40</f>
        <v>31.866036493199999</v>
      </c>
      <c r="W94"/>
      <c r="X94"/>
      <c r="Y94"/>
      <c r="Z94" s="1"/>
      <c r="AA94" s="1"/>
    </row>
    <row r="95" spans="1:27" ht="27" hidden="1" customHeight="1">
      <c r="A95" t="s">
        <v>45</v>
      </c>
      <c r="B95" t="s">
        <v>802</v>
      </c>
      <c r="C95" t="s">
        <v>1465</v>
      </c>
      <c r="D95" s="6">
        <v>600000000</v>
      </c>
      <c r="E95" t="s">
        <v>891</v>
      </c>
      <c r="F95" t="s">
        <v>467</v>
      </c>
      <c r="G95"/>
      <c r="H95" t="s">
        <v>893</v>
      </c>
      <c r="I95" t="s">
        <v>896</v>
      </c>
      <c r="J95" s="28">
        <v>54789</v>
      </c>
      <c r="K95" t="s">
        <v>1482</v>
      </c>
      <c r="L95" t="s">
        <v>468</v>
      </c>
      <c r="M95" t="s">
        <v>894</v>
      </c>
      <c r="N95" t="s">
        <v>892</v>
      </c>
      <c r="O95" t="s">
        <v>890</v>
      </c>
      <c r="P95" t="s">
        <v>889</v>
      </c>
      <c r="Q95" t="s">
        <v>17</v>
      </c>
      <c r="R95" t="s">
        <v>18</v>
      </c>
      <c r="S95" t="s">
        <v>476</v>
      </c>
      <c r="T95">
        <v>300</v>
      </c>
      <c r="U95" s="2">
        <f>Table1[[#This Row],[Coal Power Plant Size (MW) or Share]]*0.593*9057*211.9*10^(-9)</f>
        <v>0.34142181957000001</v>
      </c>
      <c r="V95" s="2">
        <f>Table1[[#This Row],[Annual Emissions (MMTCO2)]]*40</f>
        <v>13.656872782800001</v>
      </c>
      <c r="W95"/>
      <c r="X95"/>
      <c r="Y95"/>
      <c r="Z95" s="1"/>
      <c r="AA95" s="1"/>
    </row>
    <row r="96" spans="1:27" ht="27" hidden="1" customHeight="1">
      <c r="A96" t="s">
        <v>45</v>
      </c>
      <c r="B96" t="s">
        <v>552</v>
      </c>
      <c r="C96" t="s">
        <v>552</v>
      </c>
      <c r="D96" s="6"/>
      <c r="E96" t="s">
        <v>814</v>
      </c>
      <c r="F96" t="s">
        <v>727</v>
      </c>
      <c r="G96"/>
      <c r="H96" t="s">
        <v>1442</v>
      </c>
      <c r="I96" t="s">
        <v>728</v>
      </c>
      <c r="J96" s="28">
        <v>54789</v>
      </c>
      <c r="K96" t="s">
        <v>1451</v>
      </c>
      <c r="L96" t="s">
        <v>36</v>
      </c>
      <c r="M96"/>
      <c r="N96" t="s">
        <v>1441</v>
      </c>
      <c r="O96" t="s">
        <v>729</v>
      </c>
      <c r="P96"/>
      <c r="Q96" t="s">
        <v>17</v>
      </c>
      <c r="R96" t="s">
        <v>18</v>
      </c>
      <c r="S96" t="s">
        <v>476</v>
      </c>
      <c r="T96">
        <v>700</v>
      </c>
      <c r="U96" s="2">
        <f>Table1[[#This Row],[Coal Power Plant Size (MW) or Share]]*0.593*9057*211.9*10^(-9)</f>
        <v>0.79665091232999996</v>
      </c>
      <c r="V96" s="2">
        <f>Table1[[#This Row],[Annual Emissions (MMTCO2)]]*40</f>
        <v>31.866036493199999</v>
      </c>
      <c r="W96"/>
      <c r="X96"/>
      <c r="Y96"/>
      <c r="Z96" s="1"/>
      <c r="AA96" s="1"/>
    </row>
    <row r="97" spans="1:27" ht="27" hidden="1" customHeight="1">
      <c r="A97" t="s">
        <v>45</v>
      </c>
      <c r="B97" t="s">
        <v>552</v>
      </c>
      <c r="C97" t="s">
        <v>552</v>
      </c>
      <c r="D97" s="6"/>
      <c r="E97" t="s">
        <v>1311</v>
      </c>
      <c r="F97" t="s">
        <v>1270</v>
      </c>
      <c r="G97"/>
      <c r="H97" t="s">
        <v>1460</v>
      </c>
      <c r="I97" t="s">
        <v>1459</v>
      </c>
      <c r="J97" s="28">
        <v>54789</v>
      </c>
      <c r="K97" t="s">
        <v>1451</v>
      </c>
      <c r="L97" t="s">
        <v>1312</v>
      </c>
      <c r="M97" t="s">
        <v>1313</v>
      </c>
      <c r="N97"/>
      <c r="O97" t="s">
        <v>1462</v>
      </c>
      <c r="P97"/>
      <c r="Q97" t="s">
        <v>17</v>
      </c>
      <c r="R97"/>
      <c r="S97" t="s">
        <v>1196</v>
      </c>
      <c r="T97">
        <v>300</v>
      </c>
      <c r="U97" s="2">
        <f>Table1[[#This Row],[Coal Power Plant Size (MW) or Share]]*0.593*9057*211.9*10^(-9)</f>
        <v>0.34142181957000001</v>
      </c>
      <c r="V97" s="2">
        <f>Table1[[#This Row],[Annual Emissions (MMTCO2)]]*40</f>
        <v>13.656872782800001</v>
      </c>
      <c r="W97"/>
      <c r="X97"/>
      <c r="Y97"/>
      <c r="Z97" s="1"/>
      <c r="AA97" s="1"/>
    </row>
    <row r="98" spans="1:27" ht="27" hidden="1" customHeight="1">
      <c r="A98" t="s">
        <v>45</v>
      </c>
      <c r="B98" t="s">
        <v>552</v>
      </c>
      <c r="C98" t="s">
        <v>552</v>
      </c>
      <c r="D98" s="6"/>
      <c r="E98" t="s">
        <v>1311</v>
      </c>
      <c r="F98" t="s">
        <v>1270</v>
      </c>
      <c r="G98"/>
      <c r="H98" t="s">
        <v>1461</v>
      </c>
      <c r="I98"/>
      <c r="J98" s="28">
        <v>54789</v>
      </c>
      <c r="K98" t="s">
        <v>1451</v>
      </c>
      <c r="L98" t="s">
        <v>1312</v>
      </c>
      <c r="M98" t="s">
        <v>1313</v>
      </c>
      <c r="N98"/>
      <c r="O98"/>
      <c r="P98"/>
      <c r="Q98" t="s">
        <v>17</v>
      </c>
      <c r="R98"/>
      <c r="S98" t="s">
        <v>1196</v>
      </c>
      <c r="T98">
        <v>300</v>
      </c>
      <c r="U98" s="2">
        <f>Table1[[#This Row],[Coal Power Plant Size (MW) or Share]]*0.593*9057*211.9*10^(-9)</f>
        <v>0.34142181957000001</v>
      </c>
      <c r="V98" s="2">
        <f>Table1[[#This Row],[Annual Emissions (MMTCO2)]]*40</f>
        <v>13.656872782800001</v>
      </c>
      <c r="W98"/>
      <c r="X98"/>
      <c r="Y98"/>
      <c r="Z98" s="1"/>
      <c r="AA98" s="1"/>
    </row>
    <row r="99" spans="1:27" ht="27" hidden="1" customHeight="1">
      <c r="A99" t="s">
        <v>45</v>
      </c>
      <c r="B99" t="s">
        <v>552</v>
      </c>
      <c r="C99" t="s">
        <v>552</v>
      </c>
      <c r="D99" s="6"/>
      <c r="E99"/>
      <c r="F99"/>
      <c r="G99"/>
      <c r="H99" t="s">
        <v>1069</v>
      </c>
      <c r="I99" t="s">
        <v>1070</v>
      </c>
      <c r="J99" s="28">
        <v>54789</v>
      </c>
      <c r="K99" t="s">
        <v>1451</v>
      </c>
      <c r="L99" t="s">
        <v>36</v>
      </c>
      <c r="M99"/>
      <c r="N99" t="s">
        <v>723</v>
      </c>
      <c r="O99"/>
      <c r="P99"/>
      <c r="Q99" t="s">
        <v>17</v>
      </c>
      <c r="R99" t="s">
        <v>18</v>
      </c>
      <c r="S99" t="s">
        <v>476</v>
      </c>
      <c r="T99"/>
      <c r="U99" s="2">
        <f>Table1[[#This Row],[Coal Power Plant Size (MW) or Share]]*0.593*9057*211.9*10^(-9)</f>
        <v>0</v>
      </c>
      <c r="V99" s="2">
        <f>Table1[[#This Row],[Annual Emissions (MMTCO2)]]*40</f>
        <v>0</v>
      </c>
      <c r="W99"/>
      <c r="X99"/>
      <c r="Y99"/>
      <c r="Z99" s="1"/>
      <c r="AA99" s="1"/>
    </row>
    <row r="100" spans="1:27" ht="27" hidden="1" customHeight="1">
      <c r="A100" t="s">
        <v>45</v>
      </c>
      <c r="B100" t="s">
        <v>552</v>
      </c>
      <c r="C100" t="s">
        <v>552</v>
      </c>
      <c r="D100" s="6">
        <v>1000000000</v>
      </c>
      <c r="E100" t="s">
        <v>1066</v>
      </c>
      <c r="F100" t="s">
        <v>730</v>
      </c>
      <c r="G100"/>
      <c r="H100" t="s">
        <v>1067</v>
      </c>
      <c r="I100" t="s">
        <v>731</v>
      </c>
      <c r="J100" s="28">
        <v>54789</v>
      </c>
      <c r="K100" t="s">
        <v>1451</v>
      </c>
      <c r="L100" t="s">
        <v>36</v>
      </c>
      <c r="M100" t="s">
        <v>1068</v>
      </c>
      <c r="N100" t="s">
        <v>723</v>
      </c>
      <c r="O100" t="s">
        <v>732</v>
      </c>
      <c r="P100"/>
      <c r="Q100" t="s">
        <v>17</v>
      </c>
      <c r="R100" t="s">
        <v>18</v>
      </c>
      <c r="S100" t="s">
        <v>476</v>
      </c>
      <c r="T100">
        <v>600</v>
      </c>
      <c r="U100" s="2">
        <f>Table1[[#This Row],[Coal Power Plant Size (MW) or Share]]*0.593*9057*211.9*10^(-9)</f>
        <v>0.68284363914000001</v>
      </c>
      <c r="V100" s="2">
        <f>Table1[[#This Row],[Annual Emissions (MMTCO2)]]*40</f>
        <v>27.313745565600001</v>
      </c>
      <c r="W100"/>
      <c r="X100"/>
      <c r="Y100"/>
      <c r="Z100" s="1"/>
      <c r="AA100" s="1"/>
    </row>
    <row r="101" spans="1:27" ht="27" hidden="1" customHeight="1">
      <c r="A101" t="s">
        <v>45</v>
      </c>
      <c r="B101" t="s">
        <v>1124</v>
      </c>
      <c r="C101" t="s">
        <v>552</v>
      </c>
      <c r="D101" s="6"/>
      <c r="E101" t="s">
        <v>1075</v>
      </c>
      <c r="F101" t="s">
        <v>1076</v>
      </c>
      <c r="G101"/>
      <c r="H101" t="s">
        <v>1072</v>
      </c>
      <c r="I101" t="s">
        <v>791</v>
      </c>
      <c r="J101" s="28">
        <v>54789</v>
      </c>
      <c r="K101" t="s">
        <v>992</v>
      </c>
      <c r="L101" t="s">
        <v>792</v>
      </c>
      <c r="M101"/>
      <c r="N101" t="s">
        <v>1073</v>
      </c>
      <c r="O101" t="s">
        <v>1071</v>
      </c>
      <c r="P101" t="s">
        <v>1074</v>
      </c>
      <c r="Q101" t="s">
        <v>17</v>
      </c>
      <c r="R101" t="s">
        <v>353</v>
      </c>
      <c r="S101" t="s">
        <v>476</v>
      </c>
      <c r="T101">
        <v>254</v>
      </c>
      <c r="U101" s="2">
        <f>Table1[[#This Row],[Coal Power Plant Size (MW) or Share]]*0.593*9057*211.9*10^(-9)</f>
        <v>0.28907047390259999</v>
      </c>
      <c r="V101" s="2">
        <f>Table1[[#This Row],[Annual Emissions (MMTCO2)]]*40</f>
        <v>11.562818956104</v>
      </c>
      <c r="W101"/>
      <c r="X101"/>
      <c r="Y101"/>
      <c r="Z101" s="1"/>
      <c r="AA101" s="1"/>
    </row>
    <row r="102" spans="1:27" ht="27" hidden="1" customHeight="1">
      <c r="A102" t="s">
        <v>45</v>
      </c>
      <c r="C102" t="s">
        <v>552</v>
      </c>
      <c r="D102" s="6"/>
      <c r="E102" t="s">
        <v>1314</v>
      </c>
      <c r="F102" t="s">
        <v>1269</v>
      </c>
      <c r="G102"/>
      <c r="H102" t="s">
        <v>1315</v>
      </c>
      <c r="I102"/>
      <c r="J102" s="28">
        <v>54789</v>
      </c>
      <c r="K102" t="s">
        <v>993</v>
      </c>
      <c r="L102" t="s">
        <v>1316</v>
      </c>
      <c r="M102" t="s">
        <v>1317</v>
      </c>
      <c r="N102"/>
      <c r="O102"/>
      <c r="P102"/>
      <c r="Q102" t="s">
        <v>17</v>
      </c>
      <c r="R102"/>
      <c r="S102" t="s">
        <v>1196</v>
      </c>
      <c r="T102">
        <v>318</v>
      </c>
      <c r="U102" s="2">
        <f>Table1[[#This Row],[Coal Power Plant Size (MW) or Share]]*0.593*9057*211.9*10^(-9)</f>
        <v>0.3619071287442</v>
      </c>
      <c r="V102" s="2">
        <f>Table1[[#This Row],[Annual Emissions (MMTCO2)]]*40</f>
        <v>14.476285149768</v>
      </c>
      <c r="W102"/>
      <c r="X102"/>
      <c r="Y102"/>
      <c r="Z102" s="1"/>
      <c r="AA102" s="1"/>
    </row>
    <row r="103" spans="1:27" ht="27" hidden="1" customHeight="1">
      <c r="A103" t="s">
        <v>45</v>
      </c>
      <c r="B103" t="s">
        <v>971</v>
      </c>
      <c r="C103" t="s">
        <v>552</v>
      </c>
      <c r="D103" s="6"/>
      <c r="E103" t="s">
        <v>777</v>
      </c>
      <c r="F103"/>
      <c r="G103"/>
      <c r="H103" t="s">
        <v>973</v>
      </c>
      <c r="I103" t="s">
        <v>741</v>
      </c>
      <c r="J103" s="28">
        <v>54789</v>
      </c>
      <c r="K103" t="s">
        <v>1482</v>
      </c>
      <c r="L103" t="s">
        <v>71</v>
      </c>
      <c r="M103" t="s">
        <v>969</v>
      </c>
      <c r="N103" t="s">
        <v>972</v>
      </c>
      <c r="O103"/>
      <c r="P103" t="s">
        <v>974</v>
      </c>
      <c r="Q103" t="s">
        <v>17</v>
      </c>
      <c r="R103" t="s">
        <v>353</v>
      </c>
      <c r="S103" t="s">
        <v>476</v>
      </c>
      <c r="T103">
        <f>300*5</f>
        <v>1500</v>
      </c>
      <c r="U103" s="2">
        <f>Table1[[#This Row],[Coal Power Plant Size (MW) or Share]]*0.593*9057*211.9*10^(-9)</f>
        <v>1.7071090978500003</v>
      </c>
      <c r="V103" s="2">
        <f>Table1[[#This Row],[Annual Emissions (MMTCO2)]]*40</f>
        <v>68.284363914000011</v>
      </c>
      <c r="W103"/>
      <c r="X103"/>
      <c r="Y103"/>
      <c r="Z103" s="1"/>
      <c r="AA103" s="1"/>
    </row>
    <row r="104" spans="1:27" ht="27" hidden="1" customHeight="1">
      <c r="A104" t="s">
        <v>45</v>
      </c>
      <c r="B104" t="s">
        <v>971</v>
      </c>
      <c r="C104" t="s">
        <v>552</v>
      </c>
      <c r="D104" s="6"/>
      <c r="E104" t="s">
        <v>777</v>
      </c>
      <c r="F104"/>
      <c r="G104"/>
      <c r="H104" t="s">
        <v>976</v>
      </c>
      <c r="I104" t="s">
        <v>741</v>
      </c>
      <c r="J104" s="28">
        <v>54789</v>
      </c>
      <c r="K104" t="s">
        <v>1482</v>
      </c>
      <c r="L104" t="s">
        <v>71</v>
      </c>
      <c r="M104" t="s">
        <v>969</v>
      </c>
      <c r="N104" t="s">
        <v>970</v>
      </c>
      <c r="O104" t="s">
        <v>975</v>
      </c>
      <c r="P104" t="s">
        <v>974</v>
      </c>
      <c r="Q104" t="s">
        <v>17</v>
      </c>
      <c r="R104" t="s">
        <v>18</v>
      </c>
      <c r="S104" t="s">
        <v>476</v>
      </c>
      <c r="T104">
        <v>300</v>
      </c>
      <c r="U104" s="2">
        <f>Table1[[#This Row],[Coal Power Plant Size (MW) or Share]]*0.593*9057*211.9*10^(-9)</f>
        <v>0.34142181957000001</v>
      </c>
      <c r="V104" s="2">
        <f>Table1[[#This Row],[Annual Emissions (MMTCO2)]]*40</f>
        <v>13.656872782800001</v>
      </c>
      <c r="W104"/>
      <c r="X104"/>
      <c r="Y104"/>
      <c r="Z104" s="1"/>
      <c r="AA104" s="1"/>
    </row>
    <row r="105" spans="1:27" ht="27" hidden="1" customHeight="1">
      <c r="A105" t="s">
        <v>45</v>
      </c>
      <c r="B105" t="s">
        <v>552</v>
      </c>
      <c r="C105" t="s">
        <v>552</v>
      </c>
      <c r="D105" s="6">
        <v>168000000</v>
      </c>
      <c r="E105" t="s">
        <v>1080</v>
      </c>
      <c r="F105" t="s">
        <v>733</v>
      </c>
      <c r="G105"/>
      <c r="H105" t="s">
        <v>1077</v>
      </c>
      <c r="I105" t="s">
        <v>1079</v>
      </c>
      <c r="J105" s="28">
        <v>54789</v>
      </c>
      <c r="K105" t="s">
        <v>991</v>
      </c>
      <c r="L105" t="s">
        <v>445</v>
      </c>
      <c r="M105" t="s">
        <v>1078</v>
      </c>
      <c r="N105" t="s">
        <v>723</v>
      </c>
      <c r="O105" t="s">
        <v>734</v>
      </c>
      <c r="P105" t="s">
        <v>1081</v>
      </c>
      <c r="Q105" t="s">
        <v>17</v>
      </c>
      <c r="R105" t="s">
        <v>23</v>
      </c>
      <c r="S105" t="s">
        <v>476</v>
      </c>
      <c r="T105">
        <v>120</v>
      </c>
      <c r="U105" s="2">
        <f>Table1[[#This Row],[Coal Power Plant Size (MW) or Share]]*0.593*9057*211.9*10^(-9)</f>
        <v>0.13656872782800003</v>
      </c>
      <c r="V105" s="2">
        <f>Table1[[#This Row],[Annual Emissions (MMTCO2)]]*40</f>
        <v>5.462749113120001</v>
      </c>
      <c r="W105"/>
      <c r="X105"/>
      <c r="Y105"/>
      <c r="Z105" s="1"/>
      <c r="AA105" s="1"/>
    </row>
    <row r="106" spans="1:27" ht="27" hidden="1" customHeight="1">
      <c r="A106" t="s">
        <v>45</v>
      </c>
      <c r="C106" t="s">
        <v>552</v>
      </c>
      <c r="D106" s="6"/>
      <c r="E106" t="s">
        <v>1319</v>
      </c>
      <c r="F106" t="s">
        <v>1269</v>
      </c>
      <c r="G106"/>
      <c r="H106" t="s">
        <v>1320</v>
      </c>
      <c r="I106"/>
      <c r="J106" s="28">
        <v>54789</v>
      </c>
      <c r="K106" t="s">
        <v>1482</v>
      </c>
      <c r="L106" t="s">
        <v>1321</v>
      </c>
      <c r="M106" t="s">
        <v>1322</v>
      </c>
      <c r="N106"/>
      <c r="O106"/>
      <c r="P106"/>
      <c r="Q106" t="s">
        <v>17</v>
      </c>
      <c r="R106"/>
      <c r="S106" t="s">
        <v>1196</v>
      </c>
      <c r="T106">
        <v>600</v>
      </c>
      <c r="U106" s="2">
        <f>Table1[[#This Row],[Coal Power Plant Size (MW) or Share]]*0.593*9057*211.9*10^(-9)</f>
        <v>0.68284363914000001</v>
      </c>
      <c r="V106" s="2">
        <f>Table1[[#This Row],[Annual Emissions (MMTCO2)]]*40</f>
        <v>27.313745565600001</v>
      </c>
      <c r="W106"/>
      <c r="X106"/>
      <c r="Y106"/>
      <c r="Z106" s="1"/>
      <c r="AA106" s="1"/>
    </row>
    <row r="107" spans="1:27" ht="27" hidden="1" customHeight="1">
      <c r="A107" t="s">
        <v>45</v>
      </c>
      <c r="C107" t="s">
        <v>552</v>
      </c>
      <c r="D107" s="6"/>
      <c r="E107" t="s">
        <v>1319</v>
      </c>
      <c r="F107" t="s">
        <v>1269</v>
      </c>
      <c r="G107"/>
      <c r="H107" t="s">
        <v>1323</v>
      </c>
      <c r="I107"/>
      <c r="J107" s="28">
        <v>54789</v>
      </c>
      <c r="K107" t="s">
        <v>1482</v>
      </c>
      <c r="L107" t="s">
        <v>1321</v>
      </c>
      <c r="M107" t="s">
        <v>1322</v>
      </c>
      <c r="N107"/>
      <c r="O107"/>
      <c r="P107"/>
      <c r="Q107" t="s">
        <v>17</v>
      </c>
      <c r="R107"/>
      <c r="S107" t="s">
        <v>1196</v>
      </c>
      <c r="T107">
        <v>600</v>
      </c>
      <c r="U107" s="2">
        <f>Table1[[#This Row],[Coal Power Plant Size (MW) or Share]]*0.593*9057*211.9*10^(-9)</f>
        <v>0.68284363914000001</v>
      </c>
      <c r="V107" s="2">
        <f>Table1[[#This Row],[Annual Emissions (MMTCO2)]]*40</f>
        <v>27.313745565600001</v>
      </c>
      <c r="W107"/>
      <c r="X107"/>
      <c r="Y107"/>
      <c r="Z107" s="1"/>
      <c r="AA107" s="1"/>
    </row>
    <row r="108" spans="1:27" ht="27" hidden="1" customHeight="1">
      <c r="A108" t="s">
        <v>45</v>
      </c>
      <c r="C108" t="s">
        <v>552</v>
      </c>
      <c r="D108" s="6"/>
      <c r="E108" t="s">
        <v>1330</v>
      </c>
      <c r="F108" t="s">
        <v>1265</v>
      </c>
      <c r="G108" t="s">
        <v>1265</v>
      </c>
      <c r="H108" t="s">
        <v>1331</v>
      </c>
      <c r="I108"/>
      <c r="J108" s="28">
        <v>54789</v>
      </c>
      <c r="K108" t="s">
        <v>989</v>
      </c>
      <c r="L108" t="s">
        <v>1324</v>
      </c>
      <c r="M108" t="s">
        <v>1182</v>
      </c>
      <c r="N108"/>
      <c r="O108"/>
      <c r="P108"/>
      <c r="Q108" t="s">
        <v>17</v>
      </c>
      <c r="R108"/>
      <c r="S108" t="s">
        <v>1196</v>
      </c>
      <c r="T108">
        <v>350</v>
      </c>
      <c r="U108" s="2">
        <f>Table1[[#This Row],[Coal Power Plant Size (MW) or Share]]*0.593*9057*211.9*10^(-9)</f>
        <v>0.39832545616499998</v>
      </c>
      <c r="V108" s="2">
        <f>Table1[[#This Row],[Annual Emissions (MMTCO2)]]*40</f>
        <v>15.9330182466</v>
      </c>
      <c r="W108"/>
      <c r="X108"/>
      <c r="Y108"/>
      <c r="Z108" s="1"/>
      <c r="AA108" s="1"/>
    </row>
    <row r="109" spans="1:27" ht="27" hidden="1" customHeight="1">
      <c r="A109" t="s">
        <v>45</v>
      </c>
      <c r="B109" t="s">
        <v>125</v>
      </c>
      <c r="C109" t="s">
        <v>126</v>
      </c>
      <c r="D109" s="6">
        <v>1500000000</v>
      </c>
      <c r="E109" t="s">
        <v>30</v>
      </c>
      <c r="F109"/>
      <c r="G109"/>
      <c r="H109" t="s">
        <v>2027</v>
      </c>
      <c r="I109" t="s">
        <v>2025</v>
      </c>
      <c r="J109" s="28">
        <v>54789</v>
      </c>
      <c r="K109" t="s">
        <v>1482</v>
      </c>
      <c r="L109" t="s">
        <v>31</v>
      </c>
      <c r="M109"/>
      <c r="N109" t="s">
        <v>2026</v>
      </c>
      <c r="O109"/>
      <c r="P109"/>
      <c r="Q109" t="s">
        <v>17</v>
      </c>
      <c r="R109" t="s">
        <v>18</v>
      </c>
      <c r="S109"/>
      <c r="T109"/>
      <c r="U109" s="2">
        <f>Table1[[#This Row],[Coal Power Plant Size (MW) or Share]]*0.593*9057*211.9*10^(-9)</f>
        <v>0</v>
      </c>
      <c r="V109" s="2">
        <f>Table1[[#This Row],[Annual Emissions (MMTCO2)]]*40</f>
        <v>0</v>
      </c>
      <c r="W109"/>
      <c r="X109"/>
      <c r="Y109"/>
      <c r="Z109" s="1"/>
      <c r="AA109" s="1"/>
    </row>
    <row r="110" spans="1:27" ht="27" hidden="1" customHeight="1">
      <c r="A110" t="s">
        <v>45</v>
      </c>
      <c r="B110" t="s">
        <v>1120</v>
      </c>
      <c r="C110" t="s">
        <v>1465</v>
      </c>
      <c r="D110" s="6">
        <v>1492000000</v>
      </c>
      <c r="E110" t="s">
        <v>873</v>
      </c>
      <c r="F110"/>
      <c r="G110"/>
      <c r="H110" t="s">
        <v>899</v>
      </c>
      <c r="I110" t="s">
        <v>869</v>
      </c>
      <c r="J110" s="28">
        <v>54789</v>
      </c>
      <c r="K110" t="s">
        <v>989</v>
      </c>
      <c r="L110" t="s">
        <v>78</v>
      </c>
      <c r="M110" t="s">
        <v>872</v>
      </c>
      <c r="N110" t="s">
        <v>1096</v>
      </c>
      <c r="O110" t="s">
        <v>911</v>
      </c>
      <c r="P110" t="s">
        <v>983</v>
      </c>
      <c r="Q110" t="s">
        <v>17</v>
      </c>
      <c r="R110" t="s">
        <v>18</v>
      </c>
      <c r="S110" t="s">
        <v>476</v>
      </c>
      <c r="T110">
        <v>1320</v>
      </c>
      <c r="U110" s="2">
        <f>Table1[[#This Row],[Coal Power Plant Size (MW) or Share]]*0.593*9057*211.9*10^(-9)</f>
        <v>1.5022560061080001</v>
      </c>
      <c r="V110" s="2">
        <f>Table1[[#This Row],[Annual Emissions (MMTCO2)]]*40</f>
        <v>60.090240244320007</v>
      </c>
      <c r="W110"/>
      <c r="X110"/>
      <c r="Y110"/>
      <c r="Z110" s="1"/>
      <c r="AA110" s="1"/>
    </row>
    <row r="111" spans="1:27" ht="27" hidden="1" customHeight="1">
      <c r="A111" t="s">
        <v>45</v>
      </c>
      <c r="C111" t="s">
        <v>552</v>
      </c>
      <c r="D111" s="6"/>
      <c r="E111" t="s">
        <v>1325</v>
      </c>
      <c r="F111"/>
      <c r="G111" t="s">
        <v>1265</v>
      </c>
      <c r="H111" t="s">
        <v>1326</v>
      </c>
      <c r="I111"/>
      <c r="J111" s="28">
        <v>54789</v>
      </c>
      <c r="K111" t="s">
        <v>989</v>
      </c>
      <c r="L111" t="s">
        <v>1324</v>
      </c>
      <c r="M111" t="s">
        <v>1182</v>
      </c>
      <c r="N111"/>
      <c r="O111"/>
      <c r="P111"/>
      <c r="Q111" t="s">
        <v>17</v>
      </c>
      <c r="R111"/>
      <c r="S111" t="s">
        <v>1196</v>
      </c>
      <c r="T111">
        <v>660</v>
      </c>
      <c r="U111" s="2">
        <f>Table1[[#This Row],[Coal Power Plant Size (MW) or Share]]*0.593*9057*211.9*10^(-9)</f>
        <v>0.75112800305400007</v>
      </c>
      <c r="V111" s="2">
        <f>Table1[[#This Row],[Annual Emissions (MMTCO2)]]*40</f>
        <v>30.045120122160004</v>
      </c>
      <c r="W111"/>
      <c r="X111"/>
      <c r="Y111"/>
      <c r="Z111" s="1"/>
      <c r="AA111" s="1"/>
    </row>
    <row r="112" spans="1:27" ht="27" hidden="1" customHeight="1">
      <c r="A112" t="s">
        <v>45</v>
      </c>
      <c r="B112" t="s">
        <v>552</v>
      </c>
      <c r="C112" t="s">
        <v>552</v>
      </c>
      <c r="D112" s="6"/>
      <c r="E112" t="s">
        <v>1186</v>
      </c>
      <c r="F112"/>
      <c r="G112"/>
      <c r="H112" t="s">
        <v>1180</v>
      </c>
      <c r="I112" t="s">
        <v>752</v>
      </c>
      <c r="J112" s="28">
        <v>54789</v>
      </c>
      <c r="K112" t="s">
        <v>989</v>
      </c>
      <c r="L112" t="s">
        <v>78</v>
      </c>
      <c r="M112" t="s">
        <v>1184</v>
      </c>
      <c r="N112" t="s">
        <v>1185</v>
      </c>
      <c r="O112"/>
      <c r="P112"/>
      <c r="Q112" t="s">
        <v>17</v>
      </c>
      <c r="R112" t="s">
        <v>18</v>
      </c>
      <c r="S112" t="s">
        <v>1196</v>
      </c>
      <c r="T112">
        <v>1320</v>
      </c>
      <c r="U112" s="2">
        <f>Table1[[#This Row],[Coal Power Plant Size (MW) or Share]]*0.593*9057*211.9*10^(-9)</f>
        <v>1.5022560061080001</v>
      </c>
      <c r="V112" s="2">
        <f>Table1[[#This Row],[Annual Emissions (MMTCO2)]]*40</f>
        <v>60.090240244320007</v>
      </c>
      <c r="W112"/>
      <c r="X112"/>
      <c r="Y112"/>
      <c r="Z112" s="1"/>
      <c r="AA112" s="1"/>
    </row>
    <row r="113" spans="1:27" ht="27" hidden="1" customHeight="1">
      <c r="A113" t="s">
        <v>45</v>
      </c>
      <c r="B113" t="s">
        <v>552</v>
      </c>
      <c r="C113" t="s">
        <v>552</v>
      </c>
      <c r="D113" s="6"/>
      <c r="E113"/>
      <c r="F113"/>
      <c r="G113"/>
      <c r="H113" t="s">
        <v>910</v>
      </c>
      <c r="I113" t="s">
        <v>905</v>
      </c>
      <c r="J113" s="28">
        <v>54789</v>
      </c>
      <c r="K113" t="s">
        <v>989</v>
      </c>
      <c r="L113" t="s">
        <v>78</v>
      </c>
      <c r="M113"/>
      <c r="N113" t="s">
        <v>980</v>
      </c>
      <c r="O113"/>
      <c r="P113" t="s">
        <v>909</v>
      </c>
      <c r="Q113" t="s">
        <v>17</v>
      </c>
      <c r="R113" t="s">
        <v>18</v>
      </c>
      <c r="S113" t="s">
        <v>476</v>
      </c>
      <c r="T113">
        <v>1320</v>
      </c>
      <c r="U113" s="2">
        <f>Table1[[#This Row],[Coal Power Plant Size (MW) or Share]]*0.593*9057*211.9*10^(-9)</f>
        <v>1.5022560061080001</v>
      </c>
      <c r="V113" s="2">
        <f>Table1[[#This Row],[Annual Emissions (MMTCO2)]]*40</f>
        <v>60.090240244320007</v>
      </c>
      <c r="W113"/>
      <c r="X113"/>
      <c r="Y113"/>
      <c r="Z113" s="1"/>
      <c r="AA113" s="1"/>
    </row>
    <row r="114" spans="1:27" ht="27" hidden="1" customHeight="1">
      <c r="A114" t="s">
        <v>45</v>
      </c>
      <c r="B114" t="s">
        <v>552</v>
      </c>
      <c r="C114" t="s">
        <v>552</v>
      </c>
      <c r="D114" s="6"/>
      <c r="E114"/>
      <c r="F114"/>
      <c r="G114"/>
      <c r="H114" t="s">
        <v>982</v>
      </c>
      <c r="I114" t="s">
        <v>979</v>
      </c>
      <c r="J114" s="28">
        <v>54789</v>
      </c>
      <c r="K114" t="s">
        <v>989</v>
      </c>
      <c r="L114" t="s">
        <v>78</v>
      </c>
      <c r="M114"/>
      <c r="N114" t="s">
        <v>980</v>
      </c>
      <c r="O114"/>
      <c r="P114"/>
      <c r="Q114" t="s">
        <v>17</v>
      </c>
      <c r="R114" t="s">
        <v>18</v>
      </c>
      <c r="S114" t="s">
        <v>476</v>
      </c>
      <c r="T114">
        <v>1320</v>
      </c>
      <c r="U114" s="2">
        <f>Table1[[#This Row],[Coal Power Plant Size (MW) or Share]]*0.593*9057*211.9*10^(-9)</f>
        <v>1.5022560061080001</v>
      </c>
      <c r="V114" s="2">
        <f>Table1[[#This Row],[Annual Emissions (MMTCO2)]]*40</f>
        <v>60.090240244320007</v>
      </c>
      <c r="W114"/>
      <c r="X114"/>
      <c r="Y114"/>
      <c r="Z114" s="1"/>
      <c r="AA114" s="1"/>
    </row>
    <row r="115" spans="1:27" ht="27" hidden="1" customHeight="1">
      <c r="A115" t="s">
        <v>45</v>
      </c>
      <c r="C115" t="s">
        <v>552</v>
      </c>
      <c r="D115" s="6"/>
      <c r="E115" t="s">
        <v>1342</v>
      </c>
      <c r="F115" t="s">
        <v>1263</v>
      </c>
      <c r="G115"/>
      <c r="H115" t="s">
        <v>1343</v>
      </c>
      <c r="I115"/>
      <c r="J115" s="28">
        <v>54789</v>
      </c>
      <c r="K115" t="s">
        <v>989</v>
      </c>
      <c r="L115" t="s">
        <v>1324</v>
      </c>
      <c r="M115" t="s">
        <v>1182</v>
      </c>
      <c r="N115"/>
      <c r="O115"/>
      <c r="P115"/>
      <c r="Q115" t="s">
        <v>17</v>
      </c>
      <c r="R115"/>
      <c r="S115" t="s">
        <v>1196</v>
      </c>
      <c r="T115">
        <v>350</v>
      </c>
      <c r="U115" s="2">
        <f>Table1[[#This Row],[Coal Power Plant Size (MW) or Share]]*0.593*9057*211.9*10^(-9)</f>
        <v>0.39832545616499998</v>
      </c>
      <c r="V115" s="2">
        <f>Table1[[#This Row],[Annual Emissions (MMTCO2)]]*40</f>
        <v>15.9330182466</v>
      </c>
      <c r="W115"/>
      <c r="X115"/>
      <c r="Y115"/>
      <c r="Z115" s="1"/>
      <c r="AA115" s="1"/>
    </row>
    <row r="116" spans="1:27" ht="27" hidden="1" customHeight="1">
      <c r="A116" t="s">
        <v>45</v>
      </c>
      <c r="C116" t="s">
        <v>552</v>
      </c>
      <c r="D116" s="6"/>
      <c r="E116" t="s">
        <v>1342</v>
      </c>
      <c r="F116" t="s">
        <v>1263</v>
      </c>
      <c r="G116"/>
      <c r="H116" t="s">
        <v>1344</v>
      </c>
      <c r="I116"/>
      <c r="J116" s="28">
        <v>54789</v>
      </c>
      <c r="K116" t="s">
        <v>989</v>
      </c>
      <c r="L116" t="s">
        <v>1324</v>
      </c>
      <c r="M116" t="s">
        <v>1182</v>
      </c>
      <c r="N116"/>
      <c r="O116"/>
      <c r="P116"/>
      <c r="Q116" t="s">
        <v>17</v>
      </c>
      <c r="R116"/>
      <c r="S116" t="s">
        <v>1196</v>
      </c>
      <c r="T116">
        <v>350</v>
      </c>
      <c r="U116" s="2">
        <f>Table1[[#This Row],[Coal Power Plant Size (MW) or Share]]*0.593*9057*211.9*10^(-9)</f>
        <v>0.39832545616499998</v>
      </c>
      <c r="V116" s="2">
        <f>Table1[[#This Row],[Annual Emissions (MMTCO2)]]*40</f>
        <v>15.9330182466</v>
      </c>
      <c r="W116"/>
      <c r="X116"/>
      <c r="Y116"/>
      <c r="Z116" s="1"/>
      <c r="AA116" s="1"/>
    </row>
    <row r="117" spans="1:27" ht="27" hidden="1" customHeight="1">
      <c r="A117" t="s">
        <v>45</v>
      </c>
      <c r="C117" t="s">
        <v>552</v>
      </c>
      <c r="D117" s="6"/>
      <c r="E117" t="s">
        <v>1340</v>
      </c>
      <c r="F117" t="s">
        <v>1269</v>
      </c>
      <c r="G117"/>
      <c r="H117" t="s">
        <v>1341</v>
      </c>
      <c r="I117"/>
      <c r="J117" s="28">
        <v>54789</v>
      </c>
      <c r="K117" t="s">
        <v>989</v>
      </c>
      <c r="L117" t="s">
        <v>1324</v>
      </c>
      <c r="M117" t="s">
        <v>1182</v>
      </c>
      <c r="N117"/>
      <c r="O117"/>
      <c r="P117"/>
      <c r="Q117" t="s">
        <v>17</v>
      </c>
      <c r="R117"/>
      <c r="S117" t="s">
        <v>1196</v>
      </c>
      <c r="T117">
        <v>660</v>
      </c>
      <c r="U117" s="2">
        <f>Table1[[#This Row],[Coal Power Plant Size (MW) or Share]]*0.593*9057*211.9*10^(-9)</f>
        <v>0.75112800305400007</v>
      </c>
      <c r="V117" s="2">
        <f>Table1[[#This Row],[Annual Emissions (MMTCO2)]]*40</f>
        <v>30.045120122160004</v>
      </c>
      <c r="W117"/>
      <c r="X117"/>
      <c r="Y117"/>
      <c r="Z117" s="1"/>
      <c r="AA117" s="1"/>
    </row>
    <row r="118" spans="1:27" ht="27" hidden="1" customHeight="1">
      <c r="A118" t="s">
        <v>45</v>
      </c>
      <c r="B118" t="s">
        <v>552</v>
      </c>
      <c r="C118" t="s">
        <v>552</v>
      </c>
      <c r="D118" s="6">
        <v>956000000</v>
      </c>
      <c r="E118"/>
      <c r="F118"/>
      <c r="G118"/>
      <c r="H118" t="s">
        <v>978</v>
      </c>
      <c r="I118" t="s">
        <v>979</v>
      </c>
      <c r="J118" s="28">
        <v>54789</v>
      </c>
      <c r="K118" t="s">
        <v>989</v>
      </c>
      <c r="L118" t="s">
        <v>78</v>
      </c>
      <c r="M118"/>
      <c r="N118" t="s">
        <v>981</v>
      </c>
      <c r="O118" t="s">
        <v>1439</v>
      </c>
      <c r="P118"/>
      <c r="Q118" t="s">
        <v>17</v>
      </c>
      <c r="R118" t="s">
        <v>18</v>
      </c>
      <c r="S118" t="s">
        <v>476</v>
      </c>
      <c r="T118">
        <v>1320</v>
      </c>
      <c r="U118" s="2">
        <f>Table1[[#This Row],[Coal Power Plant Size (MW) or Share]]*0.593*9057*211.9*10^(-9)</f>
        <v>1.5022560061080001</v>
      </c>
      <c r="V118" s="2">
        <f>Table1[[#This Row],[Annual Emissions (MMTCO2)]]*40</f>
        <v>60.090240244320007</v>
      </c>
      <c r="W118"/>
      <c r="X118"/>
      <c r="Y118"/>
      <c r="Z118" s="1"/>
      <c r="AA118" s="1"/>
    </row>
    <row r="119" spans="1:27" ht="27" hidden="1" customHeight="1">
      <c r="A119" t="s">
        <v>45</v>
      </c>
      <c r="C119" t="s">
        <v>552</v>
      </c>
      <c r="D119" s="6"/>
      <c r="E119" t="s">
        <v>1327</v>
      </c>
      <c r="F119"/>
      <c r="G119" t="s">
        <v>1271</v>
      </c>
      <c r="H119" t="s">
        <v>1328</v>
      </c>
      <c r="I119"/>
      <c r="J119" s="28">
        <v>54789</v>
      </c>
      <c r="K119" t="s">
        <v>989</v>
      </c>
      <c r="L119" t="s">
        <v>1324</v>
      </c>
      <c r="M119" t="s">
        <v>1182</v>
      </c>
      <c r="N119"/>
      <c r="O119"/>
      <c r="P119"/>
      <c r="Q119" t="s">
        <v>17</v>
      </c>
      <c r="R119"/>
      <c r="S119" t="s">
        <v>1196</v>
      </c>
      <c r="T119">
        <v>660</v>
      </c>
      <c r="U119" s="2">
        <f>Table1[[#This Row],[Coal Power Plant Size (MW) or Share]]*0.593*9057*211.9*10^(-9)</f>
        <v>0.75112800305400007</v>
      </c>
      <c r="V119" s="2">
        <f>Table1[[#This Row],[Annual Emissions (MMTCO2)]]*40</f>
        <v>30.045120122160004</v>
      </c>
      <c r="W119"/>
      <c r="X119"/>
      <c r="Y119"/>
      <c r="Z119" s="1"/>
      <c r="AA119" s="1"/>
    </row>
    <row r="120" spans="1:27" ht="27" hidden="1" customHeight="1">
      <c r="A120" t="s">
        <v>45</v>
      </c>
      <c r="C120" t="s">
        <v>552</v>
      </c>
      <c r="D120" s="6"/>
      <c r="E120" t="s">
        <v>1327</v>
      </c>
      <c r="F120"/>
      <c r="G120" t="s">
        <v>1271</v>
      </c>
      <c r="H120" t="s">
        <v>1329</v>
      </c>
      <c r="I120"/>
      <c r="J120" s="28">
        <v>54789</v>
      </c>
      <c r="K120" t="s">
        <v>989</v>
      </c>
      <c r="L120" t="s">
        <v>1324</v>
      </c>
      <c r="M120" t="s">
        <v>1182</v>
      </c>
      <c r="N120"/>
      <c r="O120"/>
      <c r="P120"/>
      <c r="Q120" t="s">
        <v>17</v>
      </c>
      <c r="R120"/>
      <c r="S120" t="s">
        <v>1196</v>
      </c>
      <c r="T120">
        <v>660</v>
      </c>
      <c r="U120" s="2">
        <f>Table1[[#This Row],[Coal Power Plant Size (MW) or Share]]*0.593*9057*211.9*10^(-9)</f>
        <v>0.75112800305400007</v>
      </c>
      <c r="V120" s="2">
        <f>Table1[[#This Row],[Annual Emissions (MMTCO2)]]*40</f>
        <v>30.045120122160004</v>
      </c>
      <c r="W120"/>
      <c r="X120"/>
      <c r="Y120"/>
      <c r="Z120" s="1"/>
      <c r="AA120" s="1"/>
    </row>
    <row r="121" spans="1:27" ht="27" hidden="1" customHeight="1">
      <c r="A121" t="s">
        <v>45</v>
      </c>
      <c r="C121" t="s">
        <v>552</v>
      </c>
      <c r="D121" s="6"/>
      <c r="E121" t="s">
        <v>1337</v>
      </c>
      <c r="F121" t="s">
        <v>1268</v>
      </c>
      <c r="G121"/>
      <c r="H121" t="s">
        <v>1338</v>
      </c>
      <c r="I121"/>
      <c r="J121" s="28">
        <v>54789</v>
      </c>
      <c r="K121" t="s">
        <v>989</v>
      </c>
      <c r="L121" t="s">
        <v>1324</v>
      </c>
      <c r="M121" t="s">
        <v>1182</v>
      </c>
      <c r="N121" t="s">
        <v>1464</v>
      </c>
      <c r="O121"/>
      <c r="P121"/>
      <c r="Q121" t="s">
        <v>17</v>
      </c>
      <c r="R121"/>
      <c r="S121" t="s">
        <v>1196</v>
      </c>
      <c r="T121">
        <v>300</v>
      </c>
      <c r="U121" s="2">
        <f>Table1[[#This Row],[Coal Power Plant Size (MW) or Share]]*0.593*9057*211.9*10^(-9)</f>
        <v>0.34142181957000001</v>
      </c>
      <c r="V121" s="2">
        <f>Table1[[#This Row],[Annual Emissions (MMTCO2)]]*40</f>
        <v>13.656872782800001</v>
      </c>
      <c r="W121"/>
      <c r="X121"/>
      <c r="Y121"/>
      <c r="Z121" s="1"/>
      <c r="AA121" s="1"/>
    </row>
    <row r="122" spans="1:27" ht="27" hidden="1" customHeight="1">
      <c r="A122" t="s">
        <v>45</v>
      </c>
      <c r="C122" t="s">
        <v>552</v>
      </c>
      <c r="D122" s="6"/>
      <c r="E122" t="s">
        <v>1337</v>
      </c>
      <c r="F122" t="s">
        <v>1268</v>
      </c>
      <c r="G122"/>
      <c r="H122" t="s">
        <v>1339</v>
      </c>
      <c r="I122"/>
      <c r="J122" s="28">
        <v>54789</v>
      </c>
      <c r="K122" t="s">
        <v>989</v>
      </c>
      <c r="L122" t="s">
        <v>1324</v>
      </c>
      <c r="M122" t="s">
        <v>1182</v>
      </c>
      <c r="N122" t="s">
        <v>1464</v>
      </c>
      <c r="O122"/>
      <c r="P122"/>
      <c r="Q122" t="s">
        <v>17</v>
      </c>
      <c r="R122"/>
      <c r="S122" t="s">
        <v>1196</v>
      </c>
      <c r="T122">
        <v>300</v>
      </c>
      <c r="U122" s="2">
        <f>Table1[[#This Row],[Coal Power Plant Size (MW) or Share]]*0.593*9057*211.9*10^(-9)</f>
        <v>0.34142181957000001</v>
      </c>
      <c r="V122" s="2">
        <f>Table1[[#This Row],[Annual Emissions (MMTCO2)]]*40</f>
        <v>13.656872782800001</v>
      </c>
      <c r="W122"/>
      <c r="X122"/>
      <c r="Y122"/>
      <c r="Z122" s="1"/>
      <c r="AA122" s="1"/>
    </row>
    <row r="123" spans="1:27" ht="27" hidden="1" customHeight="1">
      <c r="A123" t="s">
        <v>45</v>
      </c>
      <c r="B123" t="s">
        <v>874</v>
      </c>
      <c r="C123" t="s">
        <v>552</v>
      </c>
      <c r="D123" s="6"/>
      <c r="E123" t="s">
        <v>873</v>
      </c>
      <c r="F123"/>
      <c r="G123"/>
      <c r="H123" t="s">
        <v>870</v>
      </c>
      <c r="I123" t="s">
        <v>869</v>
      </c>
      <c r="J123" s="28">
        <v>54789</v>
      </c>
      <c r="K123" t="s">
        <v>989</v>
      </c>
      <c r="L123" t="s">
        <v>78</v>
      </c>
      <c r="M123" t="s">
        <v>871</v>
      </c>
      <c r="N123"/>
      <c r="O123" t="s">
        <v>900</v>
      </c>
      <c r="P123"/>
      <c r="Q123" t="s">
        <v>17</v>
      </c>
      <c r="R123" t="s">
        <v>18</v>
      </c>
      <c r="S123" t="s">
        <v>476</v>
      </c>
      <c r="T123">
        <v>330</v>
      </c>
      <c r="U123" s="2">
        <f>Table1[[#This Row],[Coal Power Plant Size (MW) or Share]]*0.593*9057*211.9*10^(-9)</f>
        <v>0.37556400152700004</v>
      </c>
      <c r="V123" s="2">
        <f>Table1[[#This Row],[Annual Emissions (MMTCO2)]]*40</f>
        <v>15.022560061080002</v>
      </c>
      <c r="W123"/>
      <c r="X123"/>
      <c r="Y123"/>
      <c r="Z123" s="1"/>
      <c r="AA123" s="1"/>
    </row>
    <row r="124" spans="1:27" ht="27" hidden="1" customHeight="1">
      <c r="A124" t="s">
        <v>45</v>
      </c>
      <c r="C124" t="s">
        <v>552</v>
      </c>
      <c r="D124" s="6"/>
      <c r="E124" t="s">
        <v>1353</v>
      </c>
      <c r="F124" t="s">
        <v>1271</v>
      </c>
      <c r="G124" t="s">
        <v>1271</v>
      </c>
      <c r="H124" t="s">
        <v>1354</v>
      </c>
      <c r="I124"/>
      <c r="J124" s="28">
        <v>54789</v>
      </c>
      <c r="K124" t="s">
        <v>991</v>
      </c>
      <c r="L124" t="s">
        <v>1350</v>
      </c>
      <c r="M124" t="s">
        <v>1351</v>
      </c>
      <c r="N124"/>
      <c r="O124"/>
      <c r="P124"/>
      <c r="Q124" t="s">
        <v>17</v>
      </c>
      <c r="R124"/>
      <c r="S124" t="s">
        <v>1196</v>
      </c>
      <c r="T124">
        <v>300</v>
      </c>
      <c r="U124" s="2">
        <f>Table1[[#This Row],[Coal Power Plant Size (MW) or Share]]*0.593*9057*211.9*10^(-9)</f>
        <v>0.34142181957000001</v>
      </c>
      <c r="V124" s="2">
        <f>Table1[[#This Row],[Annual Emissions (MMTCO2)]]*40</f>
        <v>13.656872782800001</v>
      </c>
      <c r="W124"/>
      <c r="X124"/>
      <c r="Y124"/>
      <c r="Z124" s="1"/>
      <c r="AA124" s="1"/>
    </row>
    <row r="125" spans="1:27" ht="27" hidden="1" customHeight="1">
      <c r="A125" t="s">
        <v>45</v>
      </c>
      <c r="C125" t="s">
        <v>552</v>
      </c>
      <c r="D125" s="6"/>
      <c r="E125" t="s">
        <v>1357</v>
      </c>
      <c r="F125" t="s">
        <v>1229</v>
      </c>
      <c r="G125"/>
      <c r="H125" t="s">
        <v>1358</v>
      </c>
      <c r="I125"/>
      <c r="J125" s="28">
        <v>54789</v>
      </c>
      <c r="K125" t="s">
        <v>992</v>
      </c>
      <c r="L125" t="s">
        <v>1359</v>
      </c>
      <c r="M125" t="s">
        <v>1360</v>
      </c>
      <c r="N125" t="s">
        <v>1449</v>
      </c>
      <c r="O125"/>
      <c r="P125"/>
      <c r="Q125" t="s">
        <v>17</v>
      </c>
      <c r="R125"/>
      <c r="S125" t="s">
        <v>1196</v>
      </c>
      <c r="T125">
        <v>500</v>
      </c>
      <c r="U125" s="2">
        <f>Table1[[#This Row],[Coal Power Plant Size (MW) or Share]]*0.593*9057*211.9*10^(-9)</f>
        <v>0.56903636595000007</v>
      </c>
      <c r="V125" s="2">
        <f>Table1[[#This Row],[Annual Emissions (MMTCO2)]]*40</f>
        <v>22.761454638000004</v>
      </c>
      <c r="W125"/>
      <c r="X125"/>
      <c r="Y125"/>
      <c r="Z125" s="1"/>
      <c r="AA125" s="1"/>
    </row>
    <row r="126" spans="1:27" ht="27" hidden="1" customHeight="1">
      <c r="A126" t="s">
        <v>45</v>
      </c>
      <c r="C126" t="s">
        <v>552</v>
      </c>
      <c r="D126" s="6"/>
      <c r="E126" t="s">
        <v>1366</v>
      </c>
      <c r="F126" t="s">
        <v>1265</v>
      </c>
      <c r="G126" t="s">
        <v>1265</v>
      </c>
      <c r="H126" t="s">
        <v>1367</v>
      </c>
      <c r="I126"/>
      <c r="J126" s="28">
        <v>54789</v>
      </c>
      <c r="K126" t="s">
        <v>1482</v>
      </c>
      <c r="L126" t="s">
        <v>1368</v>
      </c>
      <c r="M126" t="s">
        <v>1369</v>
      </c>
      <c r="N126"/>
      <c r="O126"/>
      <c r="P126"/>
      <c r="Q126" t="s">
        <v>17</v>
      </c>
      <c r="R126"/>
      <c r="S126" t="s">
        <v>1196</v>
      </c>
      <c r="T126">
        <v>200</v>
      </c>
      <c r="U126" s="2">
        <f>Table1[[#This Row],[Coal Power Plant Size (MW) or Share]]*0.593*9057*211.9*10^(-9)</f>
        <v>0.22761454638</v>
      </c>
      <c r="V126" s="2">
        <f>Table1[[#This Row],[Annual Emissions (MMTCO2)]]*40</f>
        <v>9.1045818551999993</v>
      </c>
      <c r="W126"/>
      <c r="X126"/>
      <c r="Y126"/>
      <c r="Z126" s="1"/>
      <c r="AA126" s="1"/>
    </row>
    <row r="127" spans="1:27" ht="27" hidden="1" customHeight="1">
      <c r="A127" t="s">
        <v>45</v>
      </c>
      <c r="C127" t="s">
        <v>552</v>
      </c>
      <c r="D127" s="6"/>
      <c r="E127" t="s">
        <v>1366</v>
      </c>
      <c r="F127" t="s">
        <v>1265</v>
      </c>
      <c r="G127" t="s">
        <v>1265</v>
      </c>
      <c r="H127" t="s">
        <v>1370</v>
      </c>
      <c r="I127"/>
      <c r="J127" s="28">
        <v>54789</v>
      </c>
      <c r="K127" t="s">
        <v>1482</v>
      </c>
      <c r="L127" t="s">
        <v>1368</v>
      </c>
      <c r="M127" t="s">
        <v>1369</v>
      </c>
      <c r="N127"/>
      <c r="O127"/>
      <c r="P127"/>
      <c r="Q127" t="s">
        <v>17</v>
      </c>
      <c r="R127"/>
      <c r="S127" t="s">
        <v>1196</v>
      </c>
      <c r="T127">
        <v>200</v>
      </c>
      <c r="U127" s="2">
        <f>Table1[[#This Row],[Coal Power Plant Size (MW) or Share]]*0.593*9057*211.9*10^(-9)</f>
        <v>0.22761454638</v>
      </c>
      <c r="V127" s="2">
        <f>Table1[[#This Row],[Annual Emissions (MMTCO2)]]*40</f>
        <v>9.1045818551999993</v>
      </c>
      <c r="W127"/>
      <c r="X127"/>
      <c r="Y127"/>
      <c r="Z127" s="1"/>
      <c r="AA127" s="1"/>
    </row>
    <row r="128" spans="1:27" ht="27" hidden="1" customHeight="1">
      <c r="A128" t="s">
        <v>45</v>
      </c>
      <c r="C128" t="s">
        <v>552</v>
      </c>
      <c r="D128" s="6"/>
      <c r="E128" t="s">
        <v>1366</v>
      </c>
      <c r="F128" t="s">
        <v>1265</v>
      </c>
      <c r="G128" t="s">
        <v>1265</v>
      </c>
      <c r="H128" t="s">
        <v>1371</v>
      </c>
      <c r="I128"/>
      <c r="J128" s="28">
        <v>54789</v>
      </c>
      <c r="K128" t="s">
        <v>1482</v>
      </c>
      <c r="L128" t="s">
        <v>1368</v>
      </c>
      <c r="M128" t="s">
        <v>1369</v>
      </c>
      <c r="N128"/>
      <c r="O128"/>
      <c r="P128"/>
      <c r="Q128" t="s">
        <v>17</v>
      </c>
      <c r="R128"/>
      <c r="S128" t="s">
        <v>1196</v>
      </c>
      <c r="T128">
        <v>200</v>
      </c>
      <c r="U128" s="2">
        <f>Table1[[#This Row],[Coal Power Plant Size (MW) or Share]]*0.593*9057*211.9*10^(-9)</f>
        <v>0.22761454638</v>
      </c>
      <c r="V128" s="2">
        <f>Table1[[#This Row],[Annual Emissions (MMTCO2)]]*40</f>
        <v>9.1045818551999993</v>
      </c>
      <c r="W128"/>
      <c r="X128"/>
      <c r="Y128"/>
      <c r="Z128" s="1"/>
      <c r="AA128" s="1"/>
    </row>
    <row r="129" spans="1:27" ht="27" hidden="1" customHeight="1">
      <c r="A129" t="s">
        <v>45</v>
      </c>
      <c r="B129" t="s">
        <v>552</v>
      </c>
      <c r="C129" t="s">
        <v>552</v>
      </c>
      <c r="D129" s="6"/>
      <c r="E129" t="s">
        <v>1060</v>
      </c>
      <c r="F129" t="s">
        <v>1061</v>
      </c>
      <c r="G129"/>
      <c r="H129" t="s">
        <v>1062</v>
      </c>
      <c r="I129" t="s">
        <v>1064</v>
      </c>
      <c r="J129" s="28">
        <v>54789</v>
      </c>
      <c r="K129" t="s">
        <v>1482</v>
      </c>
      <c r="L129" t="s">
        <v>737</v>
      </c>
      <c r="M129" t="s">
        <v>1372</v>
      </c>
      <c r="N129" t="s">
        <v>1125</v>
      </c>
      <c r="O129" t="s">
        <v>1063</v>
      </c>
      <c r="P129" t="s">
        <v>1065</v>
      </c>
      <c r="Q129" t="s">
        <v>17</v>
      </c>
      <c r="R129" t="s">
        <v>18</v>
      </c>
      <c r="S129" t="s">
        <v>1196</v>
      </c>
      <c r="T129">
        <v>300</v>
      </c>
      <c r="U129" s="2">
        <f>Table1[[#This Row],[Coal Power Plant Size (MW) or Share]]*0.593*9057*211.9*10^(-9)</f>
        <v>0.34142181957000001</v>
      </c>
      <c r="V129" s="2">
        <f>Table1[[#This Row],[Annual Emissions (MMTCO2)]]*40</f>
        <v>13.656872782800001</v>
      </c>
      <c r="W129"/>
      <c r="X129"/>
      <c r="Y129"/>
      <c r="Z129" s="1"/>
      <c r="AA129" s="1"/>
    </row>
    <row r="130" spans="1:27" ht="27" hidden="1" customHeight="1">
      <c r="A130" t="s">
        <v>45</v>
      </c>
      <c r="B130" t="s">
        <v>552</v>
      </c>
      <c r="C130" t="s">
        <v>552</v>
      </c>
      <c r="D130" s="6"/>
      <c r="E130" t="s">
        <v>1055</v>
      </c>
      <c r="F130"/>
      <c r="G130"/>
      <c r="H130" t="s">
        <v>1057</v>
      </c>
      <c r="I130" t="s">
        <v>1056</v>
      </c>
      <c r="J130" s="28">
        <v>54789</v>
      </c>
      <c r="K130" t="s">
        <v>1482</v>
      </c>
      <c r="L130" t="s">
        <v>737</v>
      </c>
      <c r="M130" t="s">
        <v>1053</v>
      </c>
      <c r="N130" t="s">
        <v>1054</v>
      </c>
      <c r="O130" t="s">
        <v>1059</v>
      </c>
      <c r="P130"/>
      <c r="Q130" t="s">
        <v>17</v>
      </c>
      <c r="R130" t="s">
        <v>18</v>
      </c>
      <c r="S130" t="s">
        <v>476</v>
      </c>
      <c r="T130">
        <v>600</v>
      </c>
      <c r="U130" s="2">
        <f>Table1[[#This Row],[Coal Power Plant Size (MW) or Share]]*0.593*9057*211.9*10^(-9)</f>
        <v>0.68284363914000001</v>
      </c>
      <c r="V130" s="2">
        <f>Table1[[#This Row],[Annual Emissions (MMTCO2)]]*40</f>
        <v>27.313745565600001</v>
      </c>
      <c r="W130"/>
      <c r="X130"/>
      <c r="Y130"/>
      <c r="Z130" s="1"/>
      <c r="AA130" s="1"/>
    </row>
    <row r="131" spans="1:27" ht="27" hidden="1" customHeight="1">
      <c r="A131" t="s">
        <v>45</v>
      </c>
      <c r="B131" t="s">
        <v>552</v>
      </c>
      <c r="C131" t="s">
        <v>552</v>
      </c>
      <c r="D131" s="6"/>
      <c r="E131" t="s">
        <v>1049</v>
      </c>
      <c r="F131" t="s">
        <v>1051</v>
      </c>
      <c r="G131"/>
      <c r="H131" t="s">
        <v>1052</v>
      </c>
      <c r="I131" t="s">
        <v>1050</v>
      </c>
      <c r="J131" s="28">
        <v>54789</v>
      </c>
      <c r="K131" t="s">
        <v>1482</v>
      </c>
      <c r="L131" t="s">
        <v>737</v>
      </c>
      <c r="M131" t="s">
        <v>1053</v>
      </c>
      <c r="N131" t="s">
        <v>1157</v>
      </c>
      <c r="O131" t="s">
        <v>1058</v>
      </c>
      <c r="P131" t="s">
        <v>1156</v>
      </c>
      <c r="Q131" t="s">
        <v>17</v>
      </c>
      <c r="R131" t="s">
        <v>18</v>
      </c>
      <c r="S131" t="s">
        <v>476</v>
      </c>
      <c r="T131"/>
      <c r="U131" s="2">
        <f>Table1[[#This Row],[Coal Power Plant Size (MW) or Share]]*0.593*9057*211.9*10^(-9)</f>
        <v>0</v>
      </c>
      <c r="V131" s="2">
        <f>Table1[[#This Row],[Annual Emissions (MMTCO2)]]*40</f>
        <v>0</v>
      </c>
      <c r="W131"/>
      <c r="X131"/>
      <c r="Y131"/>
      <c r="Z131" s="1"/>
      <c r="AA131" s="1"/>
    </row>
    <row r="132" spans="1:27" ht="27" hidden="1" customHeight="1">
      <c r="A132" t="s">
        <v>45</v>
      </c>
      <c r="C132" t="s">
        <v>552</v>
      </c>
      <c r="D132" s="6"/>
      <c r="E132" t="s">
        <v>1373</v>
      </c>
      <c r="F132" t="s">
        <v>1374</v>
      </c>
      <c r="G132" t="s">
        <v>1271</v>
      </c>
      <c r="H132" t="s">
        <v>1375</v>
      </c>
      <c r="I132"/>
      <c r="J132" s="28">
        <v>54789</v>
      </c>
      <c r="K132" t="s">
        <v>991</v>
      </c>
      <c r="L132" t="s">
        <v>1376</v>
      </c>
      <c r="M132" t="s">
        <v>1377</v>
      </c>
      <c r="N132"/>
      <c r="O132"/>
      <c r="P132"/>
      <c r="Q132" t="s">
        <v>17</v>
      </c>
      <c r="R132"/>
      <c r="S132" t="s">
        <v>1196</v>
      </c>
      <c r="T132">
        <v>135</v>
      </c>
      <c r="U132" s="2">
        <f>Table1[[#This Row],[Coal Power Plant Size (MW) or Share]]*0.593*9057*211.9*10^(-9)</f>
        <v>0.15363981880649999</v>
      </c>
      <c r="V132" s="2">
        <f>Table1[[#This Row],[Annual Emissions (MMTCO2)]]*40</f>
        <v>6.1455927522599998</v>
      </c>
      <c r="W132"/>
      <c r="X132"/>
      <c r="Y132"/>
      <c r="Z132" s="1"/>
      <c r="AA132" s="1"/>
    </row>
    <row r="133" spans="1:27" ht="27" hidden="1" customHeight="1">
      <c r="A133" t="s">
        <v>45</v>
      </c>
      <c r="C133" t="s">
        <v>552</v>
      </c>
      <c r="D133" s="6"/>
      <c r="E133" t="s">
        <v>1373</v>
      </c>
      <c r="F133" t="s">
        <v>1374</v>
      </c>
      <c r="G133" t="s">
        <v>1271</v>
      </c>
      <c r="H133" t="s">
        <v>1378</v>
      </c>
      <c r="I133"/>
      <c r="J133" s="28">
        <v>54789</v>
      </c>
      <c r="K133" t="s">
        <v>991</v>
      </c>
      <c r="L133" t="s">
        <v>1376</v>
      </c>
      <c r="M133" t="s">
        <v>1377</v>
      </c>
      <c r="N133"/>
      <c r="O133"/>
      <c r="P133"/>
      <c r="Q133" t="s">
        <v>17</v>
      </c>
      <c r="R133"/>
      <c r="S133" t="s">
        <v>1196</v>
      </c>
      <c r="T133">
        <v>135</v>
      </c>
      <c r="U133" s="2">
        <f>Table1[[#This Row],[Coal Power Plant Size (MW) or Share]]*0.593*9057*211.9*10^(-9)</f>
        <v>0.15363981880649999</v>
      </c>
      <c r="V133" s="2">
        <f>Table1[[#This Row],[Annual Emissions (MMTCO2)]]*40</f>
        <v>6.1455927522599998</v>
      </c>
      <c r="W133"/>
      <c r="X133"/>
      <c r="Y133"/>
      <c r="Z133" s="1"/>
      <c r="AA133" s="1"/>
    </row>
    <row r="134" spans="1:27" ht="27" hidden="1" customHeight="1">
      <c r="A134" t="s">
        <v>45</v>
      </c>
      <c r="C134" t="s">
        <v>552</v>
      </c>
      <c r="D134" s="6"/>
      <c r="E134" t="s">
        <v>1373</v>
      </c>
      <c r="F134" t="s">
        <v>1374</v>
      </c>
      <c r="G134" t="s">
        <v>1271</v>
      </c>
      <c r="H134" t="s">
        <v>1379</v>
      </c>
      <c r="I134"/>
      <c r="J134" s="28">
        <v>54789</v>
      </c>
      <c r="K134" t="s">
        <v>991</v>
      </c>
      <c r="L134" t="s">
        <v>1376</v>
      </c>
      <c r="M134" t="s">
        <v>1377</v>
      </c>
      <c r="N134"/>
      <c r="O134"/>
      <c r="P134"/>
      <c r="Q134" t="s">
        <v>17</v>
      </c>
      <c r="R134"/>
      <c r="S134" t="s">
        <v>1196</v>
      </c>
      <c r="T134">
        <v>135</v>
      </c>
      <c r="U134" s="2">
        <f>Table1[[#This Row],[Coal Power Plant Size (MW) or Share]]*0.593*9057*211.9*10^(-9)</f>
        <v>0.15363981880649999</v>
      </c>
      <c r="V134" s="2">
        <f>Table1[[#This Row],[Annual Emissions (MMTCO2)]]*40</f>
        <v>6.1455927522599998</v>
      </c>
      <c r="W134"/>
      <c r="X134"/>
      <c r="Y134"/>
      <c r="Z134" s="1"/>
      <c r="AA134" s="1"/>
    </row>
    <row r="135" spans="1:27" ht="27" hidden="1" customHeight="1">
      <c r="A135" t="s">
        <v>45</v>
      </c>
      <c r="C135" t="s">
        <v>552</v>
      </c>
      <c r="D135" s="6"/>
      <c r="E135" t="s">
        <v>1373</v>
      </c>
      <c r="F135" t="s">
        <v>1374</v>
      </c>
      <c r="G135" t="s">
        <v>1271</v>
      </c>
      <c r="H135" t="s">
        <v>1380</v>
      </c>
      <c r="I135"/>
      <c r="J135" s="28">
        <v>54789</v>
      </c>
      <c r="K135" t="s">
        <v>991</v>
      </c>
      <c r="L135" t="s">
        <v>1376</v>
      </c>
      <c r="M135" t="s">
        <v>1377</v>
      </c>
      <c r="N135"/>
      <c r="O135"/>
      <c r="P135"/>
      <c r="Q135" t="s">
        <v>17</v>
      </c>
      <c r="R135"/>
      <c r="S135" t="s">
        <v>1196</v>
      </c>
      <c r="T135">
        <v>135</v>
      </c>
      <c r="U135" s="2">
        <f>Table1[[#This Row],[Coal Power Plant Size (MW) or Share]]*0.593*9057*211.9*10^(-9)</f>
        <v>0.15363981880649999</v>
      </c>
      <c r="V135" s="2">
        <f>Table1[[#This Row],[Annual Emissions (MMTCO2)]]*40</f>
        <v>6.1455927522599998</v>
      </c>
      <c r="W135"/>
      <c r="X135"/>
      <c r="Y135"/>
      <c r="Z135" s="1"/>
      <c r="AA135" s="1"/>
    </row>
    <row r="136" spans="1:27" ht="27" hidden="1" customHeight="1">
      <c r="A136" t="s">
        <v>45</v>
      </c>
      <c r="C136" t="s">
        <v>552</v>
      </c>
      <c r="D136" s="6"/>
      <c r="E136" t="s">
        <v>1382</v>
      </c>
      <c r="F136" t="s">
        <v>1265</v>
      </c>
      <c r="G136" t="s">
        <v>1265</v>
      </c>
      <c r="H136" t="s">
        <v>1384</v>
      </c>
      <c r="I136"/>
      <c r="J136" s="28">
        <v>54789</v>
      </c>
      <c r="K136" t="s">
        <v>992</v>
      </c>
      <c r="L136" t="s">
        <v>1381</v>
      </c>
      <c r="M136" t="s">
        <v>1383</v>
      </c>
      <c r="N136"/>
      <c r="O136"/>
      <c r="P136"/>
      <c r="Q136" t="s">
        <v>17</v>
      </c>
      <c r="R136"/>
      <c r="S136" t="s">
        <v>1196</v>
      </c>
      <c r="T136">
        <v>660</v>
      </c>
      <c r="U136" s="2">
        <f>Table1[[#This Row],[Coal Power Plant Size (MW) or Share]]*0.593*9057*211.9*10^(-9)</f>
        <v>0.75112800305400007</v>
      </c>
      <c r="V136" s="2">
        <f>Table1[[#This Row],[Annual Emissions (MMTCO2)]]*40</f>
        <v>30.045120122160004</v>
      </c>
      <c r="W136"/>
      <c r="X136"/>
      <c r="Y136"/>
      <c r="Z136" s="1"/>
      <c r="AA136" s="1"/>
    </row>
    <row r="137" spans="1:27" ht="27" hidden="1" customHeight="1">
      <c r="A137" t="s">
        <v>45</v>
      </c>
      <c r="C137" t="s">
        <v>552</v>
      </c>
      <c r="D137" s="6"/>
      <c r="E137" t="s">
        <v>1382</v>
      </c>
      <c r="F137" t="s">
        <v>1265</v>
      </c>
      <c r="G137" t="s">
        <v>1265</v>
      </c>
      <c r="H137" t="s">
        <v>1385</v>
      </c>
      <c r="I137"/>
      <c r="J137" s="28">
        <v>54789</v>
      </c>
      <c r="K137" t="s">
        <v>992</v>
      </c>
      <c r="L137" t="s">
        <v>1381</v>
      </c>
      <c r="M137" t="s">
        <v>1383</v>
      </c>
      <c r="N137"/>
      <c r="O137"/>
      <c r="P137"/>
      <c r="Q137" t="s">
        <v>17</v>
      </c>
      <c r="R137"/>
      <c r="S137" t="s">
        <v>1196</v>
      </c>
      <c r="T137">
        <v>660</v>
      </c>
      <c r="U137" s="2">
        <f>Table1[[#This Row],[Coal Power Plant Size (MW) or Share]]*0.593*9057*211.9*10^(-9)</f>
        <v>0.75112800305400007</v>
      </c>
      <c r="V137" s="2">
        <f>Table1[[#This Row],[Annual Emissions (MMTCO2)]]*40</f>
        <v>30.045120122160004</v>
      </c>
      <c r="W137"/>
      <c r="X137"/>
      <c r="Y137"/>
      <c r="Z137" s="1"/>
      <c r="AA137" s="1"/>
    </row>
    <row r="138" spans="1:27" ht="27" hidden="1" customHeight="1">
      <c r="A138" t="s">
        <v>45</v>
      </c>
      <c r="C138" t="s">
        <v>552</v>
      </c>
      <c r="D138" s="6"/>
      <c r="E138" t="s">
        <v>1390</v>
      </c>
      <c r="F138" t="s">
        <v>1263</v>
      </c>
      <c r="G138"/>
      <c r="H138" t="s">
        <v>1391</v>
      </c>
      <c r="I138"/>
      <c r="J138" s="28">
        <v>54789</v>
      </c>
      <c r="K138" t="s">
        <v>992</v>
      </c>
      <c r="L138" t="s">
        <v>1381</v>
      </c>
      <c r="M138" t="s">
        <v>1392</v>
      </c>
      <c r="N138"/>
      <c r="O138"/>
      <c r="P138"/>
      <c r="Q138" t="s">
        <v>17</v>
      </c>
      <c r="R138" t="s">
        <v>1454</v>
      </c>
      <c r="S138" t="s">
        <v>1196</v>
      </c>
      <c r="T138">
        <v>10</v>
      </c>
      <c r="U138" s="2">
        <f>Table1[[#This Row],[Coal Power Plant Size (MW) or Share]]*0.593*9057*211.9*10^(-9)</f>
        <v>1.1380727318999998E-2</v>
      </c>
      <c r="V138" s="2">
        <f>Table1[[#This Row],[Annual Emissions (MMTCO2)]]*40</f>
        <v>0.45522909275999995</v>
      </c>
      <c r="W138"/>
      <c r="X138"/>
      <c r="Y138"/>
      <c r="Z138" s="1"/>
      <c r="AA138" s="1"/>
    </row>
    <row r="139" spans="1:27" ht="27" hidden="1" customHeight="1">
      <c r="A139" t="s">
        <v>45</v>
      </c>
      <c r="C139" t="s">
        <v>552</v>
      </c>
      <c r="D139" s="6"/>
      <c r="E139" t="s">
        <v>1390</v>
      </c>
      <c r="F139" t="s">
        <v>1263</v>
      </c>
      <c r="G139"/>
      <c r="H139" t="s">
        <v>1393</v>
      </c>
      <c r="I139"/>
      <c r="J139" s="28">
        <v>54789</v>
      </c>
      <c r="K139" t="s">
        <v>992</v>
      </c>
      <c r="L139" t="s">
        <v>1381</v>
      </c>
      <c r="M139" t="s">
        <v>1392</v>
      </c>
      <c r="N139"/>
      <c r="O139"/>
      <c r="P139"/>
      <c r="Q139" t="s">
        <v>17</v>
      </c>
      <c r="R139" t="s">
        <v>1454</v>
      </c>
      <c r="S139" t="s">
        <v>1196</v>
      </c>
      <c r="T139">
        <v>10</v>
      </c>
      <c r="U139" s="2">
        <f>Table1[[#This Row],[Coal Power Plant Size (MW) or Share]]*0.593*9057*211.9*10^(-9)</f>
        <v>1.1380727318999998E-2</v>
      </c>
      <c r="V139" s="2">
        <f>Table1[[#This Row],[Annual Emissions (MMTCO2)]]*40</f>
        <v>0.45522909275999995</v>
      </c>
      <c r="W139"/>
      <c r="X139"/>
      <c r="Y139"/>
      <c r="Z139" s="1"/>
      <c r="AA139" s="1"/>
    </row>
    <row r="140" spans="1:27" ht="27" hidden="1" customHeight="1">
      <c r="A140" t="s">
        <v>45</v>
      </c>
      <c r="C140" t="s">
        <v>552</v>
      </c>
      <c r="D140" s="6"/>
      <c r="E140" t="s">
        <v>1386</v>
      </c>
      <c r="F140" t="s">
        <v>1265</v>
      </c>
      <c r="G140" t="s">
        <v>1265</v>
      </c>
      <c r="H140" t="s">
        <v>1387</v>
      </c>
      <c r="I140"/>
      <c r="J140" s="28">
        <v>54789</v>
      </c>
      <c r="K140" t="s">
        <v>992</v>
      </c>
      <c r="L140" t="s">
        <v>1381</v>
      </c>
      <c r="M140" t="s">
        <v>1388</v>
      </c>
      <c r="N140"/>
      <c r="O140"/>
      <c r="P140"/>
      <c r="Q140" t="s">
        <v>17</v>
      </c>
      <c r="R140"/>
      <c r="S140" t="s">
        <v>1196</v>
      </c>
      <c r="T140">
        <v>255</v>
      </c>
      <c r="U140" s="2">
        <f>Table1[[#This Row],[Coal Power Plant Size (MW) or Share]]*0.593*9057*211.9*10^(-9)</f>
        <v>0.29020854663450002</v>
      </c>
      <c r="V140" s="2">
        <f>Table1[[#This Row],[Annual Emissions (MMTCO2)]]*40</f>
        <v>11.608341865380002</v>
      </c>
      <c r="W140"/>
      <c r="X140"/>
      <c r="Y140"/>
      <c r="Z140" s="1"/>
      <c r="AA140" s="1"/>
    </row>
    <row r="141" spans="1:27" ht="27" hidden="1" customHeight="1">
      <c r="A141" t="s">
        <v>45</v>
      </c>
      <c r="C141" t="s">
        <v>552</v>
      </c>
      <c r="D141" s="6"/>
      <c r="E141" t="s">
        <v>1386</v>
      </c>
      <c r="F141" t="s">
        <v>1265</v>
      </c>
      <c r="G141" t="s">
        <v>1265</v>
      </c>
      <c r="H141" t="s">
        <v>1389</v>
      </c>
      <c r="I141"/>
      <c r="J141" s="28">
        <v>54789</v>
      </c>
      <c r="K141" t="s">
        <v>992</v>
      </c>
      <c r="L141" t="s">
        <v>1381</v>
      </c>
      <c r="M141" t="s">
        <v>1388</v>
      </c>
      <c r="N141"/>
      <c r="O141"/>
      <c r="P141"/>
      <c r="Q141" t="s">
        <v>17</v>
      </c>
      <c r="R141"/>
      <c r="S141" t="s">
        <v>1196</v>
      </c>
      <c r="T141">
        <v>255</v>
      </c>
      <c r="U141" s="2">
        <f>Table1[[#This Row],[Coal Power Plant Size (MW) or Share]]*0.593*9057*211.9*10^(-9)</f>
        <v>0.29020854663450002</v>
      </c>
      <c r="V141" s="2">
        <f>Table1[[#This Row],[Annual Emissions (MMTCO2)]]*40</f>
        <v>11.608341865380002</v>
      </c>
      <c r="W141"/>
      <c r="X141"/>
      <c r="Y141"/>
      <c r="Z141" s="1"/>
      <c r="AA141" s="1"/>
    </row>
    <row r="142" spans="1:27" ht="27" hidden="1" customHeight="1">
      <c r="A142" t="s">
        <v>45</v>
      </c>
      <c r="B142" t="s">
        <v>125</v>
      </c>
      <c r="C142" t="s">
        <v>126</v>
      </c>
      <c r="D142" s="6">
        <v>1300000000</v>
      </c>
      <c r="E142" t="s">
        <v>452</v>
      </c>
      <c r="F142"/>
      <c r="G142"/>
      <c r="H142" t="s">
        <v>453</v>
      </c>
      <c r="I142" t="s">
        <v>897</v>
      </c>
      <c r="J142" s="28">
        <v>54789</v>
      </c>
      <c r="K142" t="s">
        <v>992</v>
      </c>
      <c r="L142" t="s">
        <v>85</v>
      </c>
      <c r="M142"/>
      <c r="N142" t="s">
        <v>898</v>
      </c>
      <c r="O142" t="s">
        <v>454</v>
      </c>
      <c r="P142"/>
      <c r="Q142" t="s">
        <v>17</v>
      </c>
      <c r="R142" t="s">
        <v>18</v>
      </c>
      <c r="S142" t="s">
        <v>476</v>
      </c>
      <c r="T142"/>
      <c r="U142" s="2">
        <f>Table1[[#This Row],[Coal Power Plant Size (MW) or Share]]*0.593*9057*211.9*10^(-9)</f>
        <v>0</v>
      </c>
      <c r="V142" s="2">
        <f>Table1[[#This Row],[Annual Emissions (MMTCO2)]]*40</f>
        <v>0</v>
      </c>
      <c r="W142"/>
      <c r="X142"/>
      <c r="Y142"/>
      <c r="Z142" s="1"/>
      <c r="AA142" s="1"/>
    </row>
    <row r="143" spans="1:27" ht="27" hidden="1" customHeight="1">
      <c r="A143" t="s">
        <v>45</v>
      </c>
      <c r="B143" t="s">
        <v>552</v>
      </c>
      <c r="C143" t="s">
        <v>552</v>
      </c>
      <c r="D143" s="6"/>
      <c r="E143" t="s">
        <v>701</v>
      </c>
      <c r="F143" t="s">
        <v>1265</v>
      </c>
      <c r="G143" t="s">
        <v>1352</v>
      </c>
      <c r="H143" t="s">
        <v>764</v>
      </c>
      <c r="I143" t="s">
        <v>763</v>
      </c>
      <c r="J143" s="28">
        <v>54789</v>
      </c>
      <c r="K143" t="s">
        <v>993</v>
      </c>
      <c r="L143" t="s">
        <v>1552</v>
      </c>
      <c r="M143" t="s">
        <v>1394</v>
      </c>
      <c r="N143"/>
      <c r="O143" t="s">
        <v>1086</v>
      </c>
      <c r="P143" t="s">
        <v>1087</v>
      </c>
      <c r="Q143" t="s">
        <v>17</v>
      </c>
      <c r="R143" t="s">
        <v>18</v>
      </c>
      <c r="S143" t="s">
        <v>476</v>
      </c>
      <c r="T143">
        <v>1200</v>
      </c>
      <c r="U143" s="2">
        <f>Table1[[#This Row],[Coal Power Plant Size (MW) or Share]]*0.593*9057*211.9*10^(-9)</f>
        <v>1.36568727828</v>
      </c>
      <c r="V143" s="2">
        <f>Table1[[#This Row],[Annual Emissions (MMTCO2)]]*40</f>
        <v>54.627491131200003</v>
      </c>
      <c r="W143"/>
      <c r="X143"/>
      <c r="Y143"/>
      <c r="Z143" s="1"/>
      <c r="AA143" s="1"/>
    </row>
    <row r="144" spans="1:27" ht="27" hidden="1" customHeight="1">
      <c r="A144" t="s">
        <v>45</v>
      </c>
      <c r="B144" t="s">
        <v>552</v>
      </c>
      <c r="C144" t="s">
        <v>552</v>
      </c>
      <c r="D144" s="6"/>
      <c r="E144" t="s">
        <v>1395</v>
      </c>
      <c r="F144" t="s">
        <v>1396</v>
      </c>
      <c r="G144" t="s">
        <v>1298</v>
      </c>
      <c r="H144" t="s">
        <v>1397</v>
      </c>
      <c r="I144"/>
      <c r="J144" s="28">
        <v>54789</v>
      </c>
      <c r="K144" t="s">
        <v>1450</v>
      </c>
      <c r="L144" t="s">
        <v>1398</v>
      </c>
      <c r="M144" t="s">
        <v>1399</v>
      </c>
      <c r="N144"/>
      <c r="O144"/>
      <c r="P144"/>
      <c r="Q144" t="s">
        <v>17</v>
      </c>
      <c r="R144"/>
      <c r="S144" t="s">
        <v>1196</v>
      </c>
      <c r="T144">
        <v>200</v>
      </c>
      <c r="U144" s="2">
        <f>Table1[[#This Row],[Coal Power Plant Size (MW) or Share]]*0.593*9057*211.9*10^(-9)</f>
        <v>0.22761454638</v>
      </c>
      <c r="V144" s="2">
        <f>Table1[[#This Row],[Annual Emissions (MMTCO2)]]*40</f>
        <v>9.1045818551999993</v>
      </c>
      <c r="W144"/>
      <c r="X144"/>
      <c r="Y144"/>
      <c r="Z144" s="1"/>
      <c r="AA144" s="1"/>
    </row>
    <row r="145" spans="1:27" ht="27" hidden="1" customHeight="1">
      <c r="A145" t="s">
        <v>45</v>
      </c>
      <c r="C145" t="s">
        <v>552</v>
      </c>
      <c r="D145" s="6"/>
      <c r="E145" t="s">
        <v>1404</v>
      </c>
      <c r="F145" t="s">
        <v>1229</v>
      </c>
      <c r="G145"/>
      <c r="H145" t="s">
        <v>1405</v>
      </c>
      <c r="I145"/>
      <c r="J145" s="28">
        <v>54789</v>
      </c>
      <c r="K145" t="s">
        <v>991</v>
      </c>
      <c r="L145" t="s">
        <v>98</v>
      </c>
      <c r="M145" t="s">
        <v>1406</v>
      </c>
      <c r="N145"/>
      <c r="O145"/>
      <c r="P145"/>
      <c r="Q145" t="s">
        <v>17</v>
      </c>
      <c r="R145"/>
      <c r="S145" t="s">
        <v>1196</v>
      </c>
      <c r="T145">
        <v>660</v>
      </c>
      <c r="U145" s="2">
        <f>Table1[[#This Row],[Coal Power Plant Size (MW) or Share]]*0.593*9057*211.9*10^(-9)</f>
        <v>0.75112800305400007</v>
      </c>
      <c r="V145" s="2">
        <f>Table1[[#This Row],[Annual Emissions (MMTCO2)]]*40</f>
        <v>30.045120122160004</v>
      </c>
      <c r="W145"/>
      <c r="X145"/>
      <c r="Y145"/>
      <c r="Z145" s="1"/>
      <c r="AA145" s="1"/>
    </row>
    <row r="146" spans="1:27" ht="27" hidden="1" customHeight="1">
      <c r="A146" t="s">
        <v>45</v>
      </c>
      <c r="C146" t="s">
        <v>552</v>
      </c>
      <c r="D146" s="6"/>
      <c r="E146" t="s">
        <v>1404</v>
      </c>
      <c r="F146" t="s">
        <v>1229</v>
      </c>
      <c r="G146"/>
      <c r="H146" t="s">
        <v>1407</v>
      </c>
      <c r="I146"/>
      <c r="J146" s="28">
        <v>54789</v>
      </c>
      <c r="K146" t="s">
        <v>991</v>
      </c>
      <c r="L146" t="s">
        <v>98</v>
      </c>
      <c r="M146" t="s">
        <v>1406</v>
      </c>
      <c r="N146"/>
      <c r="O146"/>
      <c r="P146"/>
      <c r="Q146" t="s">
        <v>17</v>
      </c>
      <c r="R146"/>
      <c r="S146" t="s">
        <v>1196</v>
      </c>
      <c r="T146">
        <v>660</v>
      </c>
      <c r="U146" s="2">
        <f>Table1[[#This Row],[Coal Power Plant Size (MW) or Share]]*0.593*9057*211.9*10^(-9)</f>
        <v>0.75112800305400007</v>
      </c>
      <c r="V146" s="2">
        <f>Table1[[#This Row],[Annual Emissions (MMTCO2)]]*40</f>
        <v>30.045120122160004</v>
      </c>
      <c r="W146"/>
      <c r="X146"/>
      <c r="Y146"/>
      <c r="Z146" s="1"/>
      <c r="AA146" s="1"/>
    </row>
    <row r="147" spans="1:27" ht="27" hidden="1" customHeight="1">
      <c r="A147" t="s">
        <v>45</v>
      </c>
      <c r="B147" t="s">
        <v>1448</v>
      </c>
      <c r="C147" t="s">
        <v>552</v>
      </c>
      <c r="D147" s="6">
        <v>1320000000</v>
      </c>
      <c r="E147" t="s">
        <v>885</v>
      </c>
      <c r="F147" t="s">
        <v>178</v>
      </c>
      <c r="G147" t="s">
        <v>1266</v>
      </c>
      <c r="H147" t="s">
        <v>883</v>
      </c>
      <c r="I147" t="s">
        <v>886</v>
      </c>
      <c r="J147" s="28">
        <v>54789</v>
      </c>
      <c r="K147" t="s">
        <v>1482</v>
      </c>
      <c r="L147" t="s">
        <v>190</v>
      </c>
      <c r="M147" t="s">
        <v>1417</v>
      </c>
      <c r="N147" t="s">
        <v>884</v>
      </c>
      <c r="O147"/>
      <c r="P147"/>
      <c r="Q147" t="s">
        <v>17</v>
      </c>
      <c r="R147" t="s">
        <v>144</v>
      </c>
      <c r="S147" t="s">
        <v>476</v>
      </c>
      <c r="T147">
        <v>660</v>
      </c>
      <c r="U147" s="2">
        <f>Table1[[#This Row],[Coal Power Plant Size (MW) or Share]]*0.593*9057*211.9*10^(-9)</f>
        <v>0.75112800305400007</v>
      </c>
      <c r="V147" s="2">
        <f>Table1[[#This Row],[Annual Emissions (MMTCO2)]]*40</f>
        <v>30.045120122160004</v>
      </c>
      <c r="W147"/>
      <c r="X147"/>
      <c r="Y147"/>
      <c r="Z147" s="1"/>
      <c r="AA147" s="1"/>
    </row>
    <row r="148" spans="1:27" ht="27" hidden="1" customHeight="1">
      <c r="A148" t="s">
        <v>45</v>
      </c>
      <c r="C148" t="s">
        <v>552</v>
      </c>
      <c r="D148" s="6"/>
      <c r="E148" t="s">
        <v>1418</v>
      </c>
      <c r="F148" t="s">
        <v>1419</v>
      </c>
      <c r="G148"/>
      <c r="H148" t="s">
        <v>1420</v>
      </c>
      <c r="I148"/>
      <c r="J148" s="28">
        <v>54789</v>
      </c>
      <c r="K148" t="s">
        <v>1482</v>
      </c>
      <c r="L148" t="s">
        <v>1416</v>
      </c>
      <c r="M148" t="s">
        <v>1417</v>
      </c>
      <c r="N148"/>
      <c r="O148"/>
      <c r="P148"/>
      <c r="Q148" t="s">
        <v>17</v>
      </c>
      <c r="R148"/>
      <c r="S148" t="s">
        <v>1196</v>
      </c>
      <c r="T148">
        <v>550</v>
      </c>
      <c r="U148" s="2">
        <f>Table1[[#This Row],[Coal Power Plant Size (MW) or Share]]*0.593*9057*211.9*10^(-9)</f>
        <v>0.62594000254500004</v>
      </c>
      <c r="V148" s="2">
        <f>Table1[[#This Row],[Annual Emissions (MMTCO2)]]*40</f>
        <v>25.037600101800003</v>
      </c>
      <c r="W148"/>
      <c r="X148"/>
      <c r="Y148"/>
      <c r="Z148" s="1"/>
      <c r="AA148" s="1"/>
    </row>
    <row r="149" spans="1:27" ht="27" hidden="1" customHeight="1">
      <c r="A149" t="s">
        <v>45</v>
      </c>
      <c r="C149" t="s">
        <v>552</v>
      </c>
      <c r="D149" s="6"/>
      <c r="E149" t="s">
        <v>1418</v>
      </c>
      <c r="F149" t="s">
        <v>1419</v>
      </c>
      <c r="G149"/>
      <c r="H149" t="s">
        <v>1421</v>
      </c>
      <c r="I149"/>
      <c r="J149" s="28">
        <v>54789</v>
      </c>
      <c r="K149" t="s">
        <v>1482</v>
      </c>
      <c r="L149" t="s">
        <v>1416</v>
      </c>
      <c r="M149" t="s">
        <v>1417</v>
      </c>
      <c r="N149"/>
      <c r="O149"/>
      <c r="P149"/>
      <c r="Q149" t="s">
        <v>17</v>
      </c>
      <c r="R149"/>
      <c r="S149" t="s">
        <v>1196</v>
      </c>
      <c r="T149">
        <v>550</v>
      </c>
      <c r="U149" s="2">
        <f>Table1[[#This Row],[Coal Power Plant Size (MW) or Share]]*0.593*9057*211.9*10^(-9)</f>
        <v>0.62594000254500004</v>
      </c>
      <c r="V149" s="2">
        <f>Table1[[#This Row],[Annual Emissions (MMTCO2)]]*40</f>
        <v>25.037600101800003</v>
      </c>
      <c r="W149"/>
      <c r="X149"/>
      <c r="Y149"/>
      <c r="Z149" s="1"/>
      <c r="AA149" s="1"/>
    </row>
    <row r="150" spans="1:27" ht="27" hidden="1" customHeight="1">
      <c r="A150" t="s">
        <v>45</v>
      </c>
      <c r="C150" t="s">
        <v>552</v>
      </c>
      <c r="D150" s="6"/>
      <c r="E150" t="s">
        <v>1418</v>
      </c>
      <c r="F150" t="s">
        <v>1419</v>
      </c>
      <c r="G150"/>
      <c r="H150" t="s">
        <v>1422</v>
      </c>
      <c r="I150"/>
      <c r="J150" s="28">
        <v>54789</v>
      </c>
      <c r="K150" t="s">
        <v>1482</v>
      </c>
      <c r="L150" t="s">
        <v>1416</v>
      </c>
      <c r="M150" t="s">
        <v>1417</v>
      </c>
      <c r="N150"/>
      <c r="O150"/>
      <c r="P150"/>
      <c r="Q150" t="s">
        <v>17</v>
      </c>
      <c r="R150"/>
      <c r="S150" t="s">
        <v>1196</v>
      </c>
      <c r="T150">
        <v>550</v>
      </c>
      <c r="U150" s="2">
        <f>Table1[[#This Row],[Coal Power Plant Size (MW) or Share]]*0.593*9057*211.9*10^(-9)</f>
        <v>0.62594000254500004</v>
      </c>
      <c r="V150" s="2">
        <f>Table1[[#This Row],[Annual Emissions (MMTCO2)]]*40</f>
        <v>25.037600101800003</v>
      </c>
      <c r="W150"/>
      <c r="X150"/>
      <c r="Y150"/>
      <c r="Z150" s="1"/>
      <c r="AA150" s="1"/>
    </row>
    <row r="151" spans="1:27" ht="27" hidden="1" customHeight="1">
      <c r="A151" t="s">
        <v>45</v>
      </c>
      <c r="B151" t="s">
        <v>802</v>
      </c>
      <c r="C151" t="s">
        <v>1465</v>
      </c>
      <c r="D151" s="6">
        <v>1300000000</v>
      </c>
      <c r="E151" t="s">
        <v>1175</v>
      </c>
      <c r="F151"/>
      <c r="G151"/>
      <c r="H151" t="s">
        <v>880</v>
      </c>
      <c r="I151" t="s">
        <v>442</v>
      </c>
      <c r="J151" s="28">
        <v>54789</v>
      </c>
      <c r="K151" t="s">
        <v>1482</v>
      </c>
      <c r="L151" t="s">
        <v>190</v>
      </c>
      <c r="M151" t="s">
        <v>879</v>
      </c>
      <c r="N151"/>
      <c r="O151" t="s">
        <v>838</v>
      </c>
      <c r="P151" t="s">
        <v>441</v>
      </c>
      <c r="Q151" t="s">
        <v>17</v>
      </c>
      <c r="R151" t="s">
        <v>144</v>
      </c>
      <c r="S151" t="s">
        <v>476</v>
      </c>
      <c r="T151">
        <v>1200</v>
      </c>
      <c r="U151" s="2">
        <f>Table1[[#This Row],[Coal Power Plant Size (MW) or Share]]*0.593*9057*211.9*10^(-9)</f>
        <v>1.36568727828</v>
      </c>
      <c r="V151" s="2">
        <f>Table1[[#This Row],[Annual Emissions (MMTCO2)]]*40</f>
        <v>54.627491131200003</v>
      </c>
      <c r="W151"/>
      <c r="X151"/>
      <c r="Y151"/>
      <c r="Z151" s="1"/>
      <c r="AA151" s="1"/>
    </row>
    <row r="152" spans="1:27" ht="27" hidden="1" customHeight="1">
      <c r="A152" t="s">
        <v>45</v>
      </c>
      <c r="B152" t="s">
        <v>1120</v>
      </c>
      <c r="C152" t="s">
        <v>1465</v>
      </c>
      <c r="D152" s="6"/>
      <c r="E152" t="s">
        <v>554</v>
      </c>
      <c r="F152" t="s">
        <v>856</v>
      </c>
      <c r="G152" t="s">
        <v>1265</v>
      </c>
      <c r="H152" t="s">
        <v>555</v>
      </c>
      <c r="I152" t="s">
        <v>938</v>
      </c>
      <c r="J152" s="28">
        <v>54789</v>
      </c>
      <c r="K152" t="s">
        <v>991</v>
      </c>
      <c r="L152" t="s">
        <v>98</v>
      </c>
      <c r="M152" t="s">
        <v>949</v>
      </c>
      <c r="N152" t="s">
        <v>1166</v>
      </c>
      <c r="O152" t="s">
        <v>1958</v>
      </c>
      <c r="P152" t="s">
        <v>494</v>
      </c>
      <c r="Q152" t="s">
        <v>17</v>
      </c>
      <c r="R152" t="s">
        <v>18</v>
      </c>
      <c r="S152" t="s">
        <v>476</v>
      </c>
      <c r="T152">
        <f>1980/2</f>
        <v>990</v>
      </c>
      <c r="U152" s="2">
        <f>Table1[[#This Row],[Coal Power Plant Size (MW) or Share]]*0.593*9057*211.9*10^(-9)</f>
        <v>1.1266920045809998</v>
      </c>
      <c r="V152" s="2">
        <f>Table1[[#This Row],[Annual Emissions (MMTCO2)]]*40</f>
        <v>45.067680183239993</v>
      </c>
      <c r="W152"/>
      <c r="X152"/>
      <c r="Y152"/>
      <c r="Z152" s="1"/>
      <c r="AA152" s="1"/>
    </row>
    <row r="153" spans="1:27" ht="27" hidden="1" customHeight="1">
      <c r="A153" t="s">
        <v>45</v>
      </c>
      <c r="B153" t="s">
        <v>1446</v>
      </c>
      <c r="C153" t="s">
        <v>126</v>
      </c>
      <c r="D153" s="6"/>
      <c r="E153" t="s">
        <v>554</v>
      </c>
      <c r="F153" t="s">
        <v>856</v>
      </c>
      <c r="G153" t="s">
        <v>1265</v>
      </c>
      <c r="H153" t="s">
        <v>555</v>
      </c>
      <c r="I153" t="s">
        <v>938</v>
      </c>
      <c r="J153" s="28">
        <v>54789</v>
      </c>
      <c r="K153" t="s">
        <v>991</v>
      </c>
      <c r="L153" t="s">
        <v>98</v>
      </c>
      <c r="M153" t="s">
        <v>949</v>
      </c>
      <c r="N153" t="s">
        <v>1166</v>
      </c>
      <c r="O153" t="s">
        <v>1958</v>
      </c>
      <c r="P153" t="s">
        <v>494</v>
      </c>
      <c r="Q153" t="s">
        <v>17</v>
      </c>
      <c r="R153" t="s">
        <v>18</v>
      </c>
      <c r="S153" t="s">
        <v>476</v>
      </c>
      <c r="T153">
        <f>1980/2</f>
        <v>990</v>
      </c>
      <c r="U153" s="2">
        <f>Table1[[#This Row],[Coal Power Plant Size (MW) or Share]]*0.593*9057*211.9*10^(-9)</f>
        <v>1.1266920045809998</v>
      </c>
      <c r="V153" s="2">
        <f>Table1[[#This Row],[Annual Emissions (MMTCO2)]]*40</f>
        <v>45.067680183239993</v>
      </c>
      <c r="W153"/>
      <c r="X153"/>
      <c r="Y153"/>
      <c r="Z153" s="1"/>
      <c r="AA153" s="1"/>
    </row>
    <row r="154" spans="1:27" ht="27" customHeight="1">
      <c r="A154" t="s">
        <v>45</v>
      </c>
      <c r="B154" t="s">
        <v>552</v>
      </c>
      <c r="C154"/>
      <c r="D154" s="6">
        <v>640000000</v>
      </c>
      <c r="E154" t="s">
        <v>1382</v>
      </c>
      <c r="F154" t="s">
        <v>447</v>
      </c>
      <c r="G154" t="s">
        <v>1265</v>
      </c>
      <c r="H154" t="s">
        <v>1437</v>
      </c>
      <c r="I154" t="s">
        <v>735</v>
      </c>
      <c r="J154" s="28">
        <v>55154</v>
      </c>
      <c r="K154" t="s">
        <v>992</v>
      </c>
      <c r="L154" t="s">
        <v>219</v>
      </c>
      <c r="M154" t="s">
        <v>1383</v>
      </c>
      <c r="N154" t="s">
        <v>1438</v>
      </c>
      <c r="O154" t="s">
        <v>840</v>
      </c>
      <c r="P154"/>
      <c r="Q154" t="s">
        <v>17</v>
      </c>
      <c r="R154" t="s">
        <v>18</v>
      </c>
      <c r="S154" t="s">
        <v>1151</v>
      </c>
      <c r="T154">
        <v>1320</v>
      </c>
      <c r="U154" s="2">
        <f>Table1[[#This Row],[Coal Power Plant Size (MW) or Share]]*0.593*9057*211.9*10^(-9)</f>
        <v>1.5022560061080001</v>
      </c>
      <c r="V154" s="2">
        <f>Table1[[#This Row],[Annual Emissions (MMTCO2)]]*40</f>
        <v>60.090240244320007</v>
      </c>
      <c r="W154"/>
      <c r="X154"/>
      <c r="Y154"/>
      <c r="Z154" s="1"/>
      <c r="AA154" s="1"/>
    </row>
    <row r="155" spans="1:27" ht="27" customHeight="1">
      <c r="A155" t="s">
        <v>45</v>
      </c>
      <c r="B155" t="s">
        <v>1400</v>
      </c>
      <c r="C155"/>
      <c r="D155" s="6"/>
      <c r="E155" t="s">
        <v>1300</v>
      </c>
      <c r="F155"/>
      <c r="G155"/>
      <c r="H155" t="s">
        <v>1301</v>
      </c>
      <c r="I155"/>
      <c r="J155" s="28">
        <v>55154</v>
      </c>
      <c r="K155" t="s">
        <v>1482</v>
      </c>
      <c r="L155" t="s">
        <v>1302</v>
      </c>
      <c r="M155" t="s">
        <v>1303</v>
      </c>
      <c r="N155"/>
      <c r="O155"/>
      <c r="P155"/>
      <c r="Q155" t="s">
        <v>17</v>
      </c>
      <c r="R155" t="s">
        <v>1454</v>
      </c>
      <c r="S155" t="s">
        <v>1443</v>
      </c>
      <c r="T155">
        <v>60</v>
      </c>
      <c r="U155" s="2">
        <f>Table1[[#This Row],[Coal Power Plant Size (MW) or Share]]*0.593*9057*211.9*10^(-9)</f>
        <v>6.8284363914000015E-2</v>
      </c>
      <c r="V155" s="2">
        <f>Table1[[#This Row],[Annual Emissions (MMTCO2)]]*40</f>
        <v>2.7313745565600005</v>
      </c>
      <c r="W155"/>
      <c r="X155"/>
      <c r="Y155"/>
      <c r="Z155" s="1"/>
      <c r="AA155" s="1"/>
    </row>
    <row r="156" spans="1:27" ht="27" customHeight="1">
      <c r="A156" t="s">
        <v>45</v>
      </c>
      <c r="B156" t="s">
        <v>1400</v>
      </c>
      <c r="C156"/>
      <c r="D156" s="6"/>
      <c r="E156" t="s">
        <v>1300</v>
      </c>
      <c r="F156"/>
      <c r="G156"/>
      <c r="H156" t="s">
        <v>1304</v>
      </c>
      <c r="I156"/>
      <c r="J156" s="28">
        <v>55154</v>
      </c>
      <c r="K156" t="s">
        <v>1482</v>
      </c>
      <c r="L156" t="s">
        <v>1302</v>
      </c>
      <c r="M156" t="s">
        <v>1303</v>
      </c>
      <c r="N156"/>
      <c r="O156"/>
      <c r="P156"/>
      <c r="Q156" t="s">
        <v>17</v>
      </c>
      <c r="R156" t="s">
        <v>1454</v>
      </c>
      <c r="S156" t="s">
        <v>1443</v>
      </c>
      <c r="T156">
        <v>60</v>
      </c>
      <c r="U156" s="2">
        <f>Table1[[#This Row],[Coal Power Plant Size (MW) or Share]]*0.593*9057*211.9*10^(-9)</f>
        <v>6.8284363914000015E-2</v>
      </c>
      <c r="V156" s="2">
        <f>Table1[[#This Row],[Annual Emissions (MMTCO2)]]*40</f>
        <v>2.7313745565600005</v>
      </c>
      <c r="W156"/>
      <c r="X156"/>
      <c r="Y156"/>
      <c r="Z156" s="1"/>
      <c r="AA156" s="1"/>
    </row>
    <row r="157" spans="1:27" ht="27" customHeight="1">
      <c r="A157" t="s">
        <v>45</v>
      </c>
      <c r="B157" t="s">
        <v>552</v>
      </c>
      <c r="C157"/>
      <c r="D157" s="6"/>
      <c r="E157" t="s">
        <v>862</v>
      </c>
      <c r="F157" t="s">
        <v>1002</v>
      </c>
      <c r="G157"/>
      <c r="H157" t="s">
        <v>995</v>
      </c>
      <c r="I157" t="s">
        <v>860</v>
      </c>
      <c r="J157" s="28">
        <v>55154</v>
      </c>
      <c r="K157" t="s">
        <v>989</v>
      </c>
      <c r="L157" t="s">
        <v>97</v>
      </c>
      <c r="M157" t="s">
        <v>997</v>
      </c>
      <c r="N157" t="s">
        <v>996</v>
      </c>
      <c r="O157" t="s">
        <v>861</v>
      </c>
      <c r="P157" t="s">
        <v>1003</v>
      </c>
      <c r="Q157" t="s">
        <v>17</v>
      </c>
      <c r="R157" t="s">
        <v>18</v>
      </c>
      <c r="S157" t="s">
        <v>1443</v>
      </c>
      <c r="T157">
        <v>1320</v>
      </c>
      <c r="U157" s="2">
        <f>Table1[[#This Row],[Coal Power Plant Size (MW) or Share]]*0.593*9057*211.9*10^(-9)</f>
        <v>1.5022560061080001</v>
      </c>
      <c r="V157" s="2">
        <f>Table1[[#This Row],[Annual Emissions (MMTCO2)]]*40</f>
        <v>60.090240244320007</v>
      </c>
      <c r="W157"/>
      <c r="X157"/>
      <c r="Y157"/>
      <c r="Z157" s="1"/>
      <c r="AA157" s="1"/>
    </row>
    <row r="158" spans="1:27" ht="27" customHeight="1">
      <c r="A158" t="s">
        <v>45</v>
      </c>
      <c r="C158"/>
      <c r="D158" s="6"/>
      <c r="E158" t="s">
        <v>1285</v>
      </c>
      <c r="F158" t="s">
        <v>1272</v>
      </c>
      <c r="G158" t="s">
        <v>1271</v>
      </c>
      <c r="H158" t="s">
        <v>1289</v>
      </c>
      <c r="I158"/>
      <c r="J158" s="28">
        <v>55154</v>
      </c>
      <c r="K158" t="s">
        <v>991</v>
      </c>
      <c r="L158" t="s">
        <v>1279</v>
      </c>
      <c r="M158" t="s">
        <v>1288</v>
      </c>
      <c r="N158"/>
      <c r="O158"/>
      <c r="P158"/>
      <c r="Q158" t="s">
        <v>17</v>
      </c>
      <c r="R158"/>
      <c r="S158" t="s">
        <v>1443</v>
      </c>
      <c r="T158">
        <v>30</v>
      </c>
      <c r="U158" s="2">
        <f>Table1[[#This Row],[Coal Power Plant Size (MW) or Share]]*0.593*9057*211.9*10^(-9)</f>
        <v>3.4142181957000008E-2</v>
      </c>
      <c r="V158" s="2">
        <f>Table1[[#This Row],[Annual Emissions (MMTCO2)]]*40</f>
        <v>1.3656872782800002</v>
      </c>
      <c r="W158"/>
      <c r="X158"/>
      <c r="Y158"/>
      <c r="Z158" s="1"/>
      <c r="AA158" s="1"/>
    </row>
    <row r="159" spans="1:27" ht="27" customHeight="1">
      <c r="A159" t="s">
        <v>45</v>
      </c>
      <c r="C159"/>
      <c r="D159" s="6"/>
      <c r="E159" t="s">
        <v>1285</v>
      </c>
      <c r="F159" t="s">
        <v>1272</v>
      </c>
      <c r="G159" t="s">
        <v>1271</v>
      </c>
      <c r="H159" t="s">
        <v>1290</v>
      </c>
      <c r="I159"/>
      <c r="J159" s="28">
        <v>55154</v>
      </c>
      <c r="K159" t="s">
        <v>991</v>
      </c>
      <c r="L159" t="s">
        <v>1279</v>
      </c>
      <c r="M159" t="s">
        <v>1288</v>
      </c>
      <c r="N159"/>
      <c r="O159"/>
      <c r="P159"/>
      <c r="Q159" t="s">
        <v>17</v>
      </c>
      <c r="R159"/>
      <c r="S159" t="s">
        <v>1443</v>
      </c>
      <c r="T159">
        <v>30</v>
      </c>
      <c r="U159" s="2">
        <f>Table1[[#This Row],[Coal Power Plant Size (MW) or Share]]*0.593*9057*211.9*10^(-9)</f>
        <v>3.4142181957000008E-2</v>
      </c>
      <c r="V159" s="2">
        <f>Table1[[#This Row],[Annual Emissions (MMTCO2)]]*40</f>
        <v>1.3656872782800002</v>
      </c>
      <c r="W159"/>
      <c r="X159"/>
      <c r="Y159"/>
      <c r="Z159" s="1"/>
      <c r="AA159" s="1"/>
    </row>
    <row r="160" spans="1:27" ht="27" customHeight="1">
      <c r="A160" t="s">
        <v>45</v>
      </c>
      <c r="C160"/>
      <c r="D160" s="6"/>
      <c r="E160" t="s">
        <v>1285</v>
      </c>
      <c r="F160" t="s">
        <v>1271</v>
      </c>
      <c r="G160" t="s">
        <v>1271</v>
      </c>
      <c r="H160" t="s">
        <v>1286</v>
      </c>
      <c r="I160"/>
      <c r="J160" s="28">
        <v>55154</v>
      </c>
      <c r="K160" t="s">
        <v>991</v>
      </c>
      <c r="L160" t="s">
        <v>1279</v>
      </c>
      <c r="M160" t="s">
        <v>1284</v>
      </c>
      <c r="N160"/>
      <c r="O160"/>
      <c r="P160"/>
      <c r="Q160" t="s">
        <v>17</v>
      </c>
      <c r="R160"/>
      <c r="S160" t="s">
        <v>1151</v>
      </c>
      <c r="T160">
        <v>135</v>
      </c>
      <c r="U160" s="2">
        <f>Table1[[#This Row],[Coal Power Plant Size (MW) or Share]]*0.593*9057*211.9*10^(-9)</f>
        <v>0.15363981880649999</v>
      </c>
      <c r="V160" s="2">
        <f>Table1[[#This Row],[Annual Emissions (MMTCO2)]]*40</f>
        <v>6.1455927522599998</v>
      </c>
      <c r="W160"/>
      <c r="X160"/>
      <c r="Y160"/>
      <c r="Z160" s="1"/>
      <c r="AA160" s="1"/>
    </row>
    <row r="161" spans="1:27" ht="27" customHeight="1">
      <c r="A161" t="s">
        <v>45</v>
      </c>
      <c r="C161"/>
      <c r="D161" s="6"/>
      <c r="E161" t="s">
        <v>1285</v>
      </c>
      <c r="F161" t="s">
        <v>1271</v>
      </c>
      <c r="G161" t="s">
        <v>1271</v>
      </c>
      <c r="H161" t="s">
        <v>1287</v>
      </c>
      <c r="I161"/>
      <c r="J161" s="28">
        <v>55154</v>
      </c>
      <c r="K161" t="s">
        <v>991</v>
      </c>
      <c r="L161" t="s">
        <v>1279</v>
      </c>
      <c r="M161" t="s">
        <v>1284</v>
      </c>
      <c r="N161"/>
      <c r="O161"/>
      <c r="P161"/>
      <c r="Q161" t="s">
        <v>17</v>
      </c>
      <c r="R161"/>
      <c r="S161" t="s">
        <v>1151</v>
      </c>
      <c r="T161">
        <v>135</v>
      </c>
      <c r="U161" s="2">
        <f>Table1[[#This Row],[Coal Power Plant Size (MW) or Share]]*0.593*9057*211.9*10^(-9)</f>
        <v>0.15363981880649999</v>
      </c>
      <c r="V161" s="2">
        <f>Table1[[#This Row],[Annual Emissions (MMTCO2)]]*40</f>
        <v>6.1455927522599998</v>
      </c>
      <c r="W161"/>
      <c r="X161"/>
      <c r="Y161"/>
      <c r="Z161" s="1"/>
      <c r="AA161" s="1"/>
    </row>
    <row r="162" spans="1:27" ht="27" customHeight="1">
      <c r="A162" t="s">
        <v>45</v>
      </c>
      <c r="C162"/>
      <c r="D162" s="6"/>
      <c r="E162" t="s">
        <v>1335</v>
      </c>
      <c r="F162" t="s">
        <v>1306</v>
      </c>
      <c r="G162"/>
      <c r="H162" t="s">
        <v>1336</v>
      </c>
      <c r="I162"/>
      <c r="J162" s="28">
        <v>55154</v>
      </c>
      <c r="K162" t="s">
        <v>989</v>
      </c>
      <c r="L162" t="s">
        <v>1324</v>
      </c>
      <c r="M162" t="s">
        <v>1267</v>
      </c>
      <c r="N162"/>
      <c r="O162"/>
      <c r="P162"/>
      <c r="Q162" t="s">
        <v>17</v>
      </c>
      <c r="R162"/>
      <c r="S162" t="s">
        <v>1443</v>
      </c>
      <c r="T162">
        <v>660</v>
      </c>
      <c r="U162" s="2">
        <f>Table1[[#This Row],[Coal Power Plant Size (MW) or Share]]*0.593*9057*211.9*10^(-9)</f>
        <v>0.75112800305400007</v>
      </c>
      <c r="V162" s="2">
        <f>Table1[[#This Row],[Annual Emissions (MMTCO2)]]*40</f>
        <v>30.045120122160004</v>
      </c>
      <c r="W162"/>
      <c r="X162"/>
      <c r="Y162"/>
      <c r="Z162" s="1"/>
      <c r="AA162" s="1"/>
    </row>
    <row r="163" spans="1:27" ht="27" customHeight="1">
      <c r="A163" t="s">
        <v>45</v>
      </c>
      <c r="C163"/>
      <c r="D163" s="6"/>
      <c r="E163" t="s">
        <v>1332</v>
      </c>
      <c r="F163" t="s">
        <v>1268</v>
      </c>
      <c r="G163"/>
      <c r="H163" t="s">
        <v>1333</v>
      </c>
      <c r="I163"/>
      <c r="J163" s="28">
        <v>55154</v>
      </c>
      <c r="K163" t="s">
        <v>989</v>
      </c>
      <c r="L163" t="s">
        <v>1324</v>
      </c>
      <c r="M163" t="s">
        <v>1267</v>
      </c>
      <c r="N163"/>
      <c r="O163"/>
      <c r="P163"/>
      <c r="Q163" t="s">
        <v>17</v>
      </c>
      <c r="R163" t="s">
        <v>1454</v>
      </c>
      <c r="S163" t="s">
        <v>1443</v>
      </c>
      <c r="T163">
        <v>135</v>
      </c>
      <c r="U163" s="2">
        <f>Table1[[#This Row],[Coal Power Plant Size (MW) or Share]]*0.593*9057*211.9*10^(-9)</f>
        <v>0.15363981880649999</v>
      </c>
      <c r="V163" s="2">
        <f>Table1[[#This Row],[Annual Emissions (MMTCO2)]]*40</f>
        <v>6.1455927522599998</v>
      </c>
      <c r="W163"/>
      <c r="X163"/>
      <c r="Y163"/>
      <c r="Z163" s="1"/>
      <c r="AA163" s="1"/>
    </row>
    <row r="164" spans="1:27" ht="27" customHeight="1">
      <c r="A164" t="s">
        <v>45</v>
      </c>
      <c r="C164"/>
      <c r="D164" s="6"/>
      <c r="E164" t="s">
        <v>1332</v>
      </c>
      <c r="F164" t="s">
        <v>1268</v>
      </c>
      <c r="G164"/>
      <c r="H164" t="s">
        <v>1334</v>
      </c>
      <c r="I164"/>
      <c r="J164" s="28">
        <v>55154</v>
      </c>
      <c r="K164" t="s">
        <v>989</v>
      </c>
      <c r="L164" t="s">
        <v>1324</v>
      </c>
      <c r="M164" t="s">
        <v>1267</v>
      </c>
      <c r="N164"/>
      <c r="O164"/>
      <c r="P164"/>
      <c r="Q164" t="s">
        <v>17</v>
      </c>
      <c r="R164" t="s">
        <v>1454</v>
      </c>
      <c r="S164" t="s">
        <v>1443</v>
      </c>
      <c r="T164">
        <v>135</v>
      </c>
      <c r="U164" s="2">
        <f>Table1[[#This Row],[Coal Power Plant Size (MW) or Share]]*0.593*9057*211.9*10^(-9)</f>
        <v>0.15363981880649999</v>
      </c>
      <c r="V164" s="2">
        <f>Table1[[#This Row],[Annual Emissions (MMTCO2)]]*40</f>
        <v>6.1455927522599998</v>
      </c>
      <c r="W164"/>
      <c r="X164"/>
      <c r="Y164"/>
      <c r="Z164" s="1"/>
      <c r="AA164" s="1"/>
    </row>
    <row r="165" spans="1:27" ht="27" customHeight="1">
      <c r="A165" t="s">
        <v>45</v>
      </c>
      <c r="C165"/>
      <c r="D165" s="6"/>
      <c r="E165" t="s">
        <v>1361</v>
      </c>
      <c r="F165" t="s">
        <v>1362</v>
      </c>
      <c r="G165" t="s">
        <v>1265</v>
      </c>
      <c r="H165" t="s">
        <v>1365</v>
      </c>
      <c r="I165"/>
      <c r="J165" s="28">
        <v>55154</v>
      </c>
      <c r="K165" t="s">
        <v>1451</v>
      </c>
      <c r="L165" t="s">
        <v>1363</v>
      </c>
      <c r="M165" t="s">
        <v>1364</v>
      </c>
      <c r="N165"/>
      <c r="O165"/>
      <c r="P165"/>
      <c r="Q165" t="s">
        <v>17</v>
      </c>
      <c r="R165"/>
      <c r="S165" t="s">
        <v>1443</v>
      </c>
      <c r="T165">
        <v>660</v>
      </c>
      <c r="U165" s="2">
        <f>Table1[[#This Row],[Coal Power Plant Size (MW) or Share]]*0.593*9057*211.9*10^(-9)</f>
        <v>0.75112800305400007</v>
      </c>
      <c r="V165" s="2">
        <f>Table1[[#This Row],[Annual Emissions (MMTCO2)]]*40</f>
        <v>30.045120122160004</v>
      </c>
      <c r="W165"/>
      <c r="X165"/>
      <c r="Y165"/>
      <c r="Z165" s="1"/>
      <c r="AA165" s="1"/>
    </row>
    <row r="166" spans="1:27" ht="27" hidden="1" customHeight="1">
      <c r="A166" t="s">
        <v>45</v>
      </c>
      <c r="B166" t="s">
        <v>125</v>
      </c>
      <c r="C166" t="s">
        <v>126</v>
      </c>
      <c r="D166" s="6">
        <v>94000000</v>
      </c>
      <c r="E166" t="s">
        <v>132</v>
      </c>
      <c r="F166"/>
      <c r="G166"/>
      <c r="H166" t="s">
        <v>133</v>
      </c>
      <c r="I166"/>
      <c r="J166" s="28">
        <v>41275</v>
      </c>
      <c r="K166" t="s">
        <v>991</v>
      </c>
      <c r="L166" t="s">
        <v>67</v>
      </c>
      <c r="M166"/>
      <c r="N166"/>
      <c r="O166" t="s">
        <v>134</v>
      </c>
      <c r="P166"/>
      <c r="Q166" t="s">
        <v>54</v>
      </c>
      <c r="R166" t="s">
        <v>58</v>
      </c>
      <c r="S166" t="s">
        <v>703</v>
      </c>
      <c r="T166">
        <v>224</v>
      </c>
      <c r="U166" s="2">
        <f>Table1[[#This Row],[Coal Power Plant Size (MW) or Share]]*0.593*9057*211.9*10^(-9)</f>
        <v>0.25492829194560002</v>
      </c>
      <c r="V166" s="2">
        <f>Table1[[#This Row],[Annual Emissions (MMTCO2)]]*40</f>
        <v>10.197131677824</v>
      </c>
      <c r="W166"/>
      <c r="X166"/>
      <c r="Y166"/>
      <c r="Z166" s="1"/>
      <c r="AA166" s="1"/>
    </row>
    <row r="167" spans="1:27" ht="27" hidden="1" customHeight="1">
      <c r="A167" t="s">
        <v>45</v>
      </c>
      <c r="B167" t="s">
        <v>125</v>
      </c>
      <c r="C167" t="s">
        <v>126</v>
      </c>
      <c r="D167" s="6">
        <v>900000000</v>
      </c>
      <c r="E167" t="s">
        <v>1280</v>
      </c>
      <c r="F167"/>
      <c r="G167" t="s">
        <v>1271</v>
      </c>
      <c r="H167" t="s">
        <v>1456</v>
      </c>
      <c r="I167" t="s">
        <v>135</v>
      </c>
      <c r="J167" s="28">
        <v>41367</v>
      </c>
      <c r="K167" t="s">
        <v>991</v>
      </c>
      <c r="L167" t="s">
        <v>67</v>
      </c>
      <c r="M167"/>
      <c r="N167"/>
      <c r="O167" t="s">
        <v>136</v>
      </c>
      <c r="P167"/>
      <c r="Q167" t="s">
        <v>54</v>
      </c>
      <c r="R167" t="s">
        <v>58</v>
      </c>
      <c r="S167" t="s">
        <v>703</v>
      </c>
      <c r="T167">
        <v>660</v>
      </c>
      <c r="U167" s="2">
        <f>Table1[[#This Row],[Coal Power Plant Size (MW) or Share]]*0.593*9057*211.9*10^(-9)</f>
        <v>0.75112800305400007</v>
      </c>
      <c r="V167" s="2">
        <f>Table1[[#This Row],[Annual Emissions (MMTCO2)]]*40</f>
        <v>30.045120122160004</v>
      </c>
      <c r="W167"/>
      <c r="X167"/>
      <c r="Y167"/>
      <c r="Z167" s="1"/>
      <c r="AA167" s="1"/>
    </row>
    <row r="168" spans="1:27" ht="27" hidden="1" customHeight="1">
      <c r="A168" t="s">
        <v>45</v>
      </c>
      <c r="B168" t="s">
        <v>125</v>
      </c>
      <c r="C168" t="s">
        <v>126</v>
      </c>
      <c r="D168" s="6">
        <v>160000000</v>
      </c>
      <c r="E168" t="s">
        <v>137</v>
      </c>
      <c r="F168"/>
      <c r="G168"/>
      <c r="H168" t="s">
        <v>138</v>
      </c>
      <c r="I168" t="s">
        <v>139</v>
      </c>
      <c r="J168" s="28">
        <v>41386</v>
      </c>
      <c r="K168" t="s">
        <v>989</v>
      </c>
      <c r="L168" t="s">
        <v>26</v>
      </c>
      <c r="M168"/>
      <c r="N168" t="s">
        <v>140</v>
      </c>
      <c r="O168"/>
      <c r="P168"/>
      <c r="Q168" t="s">
        <v>54</v>
      </c>
      <c r="R168" t="s">
        <v>58</v>
      </c>
      <c r="S168" t="s">
        <v>703</v>
      </c>
      <c r="T168">
        <v>1100</v>
      </c>
      <c r="U168" s="2">
        <f>Table1[[#This Row],[Coal Power Plant Size (MW) or Share]]*0.593*9057*211.9*10^(-9)</f>
        <v>1.2518800050900001</v>
      </c>
      <c r="V168" s="2">
        <f>Table1[[#This Row],[Annual Emissions (MMTCO2)]]*40</f>
        <v>50.075200203600005</v>
      </c>
      <c r="W168"/>
      <c r="X168"/>
      <c r="Y168"/>
      <c r="Z168" s="1"/>
      <c r="AA168" s="1"/>
    </row>
    <row r="169" spans="1:27" ht="27" hidden="1" customHeight="1">
      <c r="A169" t="s">
        <v>45</v>
      </c>
      <c r="B169" t="s">
        <v>28</v>
      </c>
      <c r="C169" t="s">
        <v>14</v>
      </c>
      <c r="D169" s="6">
        <v>12912441.209918099</v>
      </c>
      <c r="E169" t="s">
        <v>30</v>
      </c>
      <c r="F169"/>
      <c r="G169"/>
      <c r="H169" t="s">
        <v>52</v>
      </c>
      <c r="I169" t="s">
        <v>53</v>
      </c>
      <c r="J169" s="28">
        <v>42359</v>
      </c>
      <c r="K169" t="s">
        <v>1482</v>
      </c>
      <c r="L169" t="s">
        <v>31</v>
      </c>
      <c r="M169"/>
      <c r="N169" t="s">
        <v>56</v>
      </c>
      <c r="O169" t="s">
        <v>57</v>
      </c>
      <c r="P169"/>
      <c r="Q169" t="s">
        <v>54</v>
      </c>
      <c r="R169" t="s">
        <v>55</v>
      </c>
      <c r="S169" t="s">
        <v>703</v>
      </c>
      <c r="T169"/>
      <c r="U169" s="2">
        <f>Table1[[#This Row],[Coal Power Plant Size (MW) or Share]]*0.593*9057*211.9*10^(-9)</f>
        <v>0</v>
      </c>
      <c r="V169" s="2">
        <f>Table1[[#This Row],[Annual Emissions (MMTCO2)]]*40</f>
        <v>0</v>
      </c>
      <c r="W169"/>
      <c r="X169"/>
      <c r="Y169"/>
      <c r="Z169" s="1"/>
      <c r="AA169" s="1"/>
    </row>
    <row r="170" spans="1:27" ht="27" hidden="1" customHeight="1">
      <c r="A170" t="s">
        <v>45</v>
      </c>
      <c r="B170" t="s">
        <v>1445</v>
      </c>
      <c r="C170" t="s">
        <v>552</v>
      </c>
      <c r="D170" s="6">
        <v>1500000000</v>
      </c>
      <c r="E170" t="s">
        <v>957</v>
      </c>
      <c r="F170" t="s">
        <v>958</v>
      </c>
      <c r="G170"/>
      <c r="H170" t="s">
        <v>964</v>
      </c>
      <c r="I170" t="s">
        <v>959</v>
      </c>
      <c r="J170" s="28">
        <v>54789</v>
      </c>
      <c r="K170" t="s">
        <v>1482</v>
      </c>
      <c r="L170" t="s">
        <v>708</v>
      </c>
      <c r="M170" t="s">
        <v>966</v>
      </c>
      <c r="N170" t="s">
        <v>963</v>
      </c>
      <c r="O170" t="s">
        <v>967</v>
      </c>
      <c r="P170" t="s">
        <v>913</v>
      </c>
      <c r="Q170" t="s">
        <v>54</v>
      </c>
      <c r="R170" t="s">
        <v>965</v>
      </c>
      <c r="S170" t="s">
        <v>1196</v>
      </c>
      <c r="T170">
        <v>0</v>
      </c>
      <c r="U170" s="2">
        <f>Table1[[#This Row],[Coal Power Plant Size (MW) or Share]]*0.593*9057*211.9*10^(-9)</f>
        <v>0</v>
      </c>
      <c r="V170" s="2">
        <f>Table1[[#This Row],[Annual Emissions (MMTCO2)]]*40</f>
        <v>0</v>
      </c>
      <c r="W170"/>
      <c r="X170"/>
      <c r="Y170"/>
      <c r="Z170" s="1"/>
      <c r="AA170" s="1"/>
    </row>
    <row r="171" spans="1:27" ht="27" hidden="1" customHeight="1">
      <c r="A171" t="s">
        <v>45</v>
      </c>
      <c r="B171" t="s">
        <v>552</v>
      </c>
      <c r="C171" t="s">
        <v>552</v>
      </c>
      <c r="D171" s="6"/>
      <c r="E171" t="s">
        <v>1046</v>
      </c>
      <c r="F171" t="s">
        <v>1044</v>
      </c>
      <c r="G171"/>
      <c r="H171" t="s">
        <v>1043</v>
      </c>
      <c r="I171" t="s">
        <v>726</v>
      </c>
      <c r="J171" s="28">
        <v>54789</v>
      </c>
      <c r="K171" t="s">
        <v>1451</v>
      </c>
      <c r="L171" t="s">
        <v>93</v>
      </c>
      <c r="M171" t="s">
        <v>1042</v>
      </c>
      <c r="N171" t="s">
        <v>1045</v>
      </c>
      <c r="O171" t="s">
        <v>1048</v>
      </c>
      <c r="P171"/>
      <c r="Q171" t="s">
        <v>54</v>
      </c>
      <c r="R171" t="s">
        <v>1047</v>
      </c>
      <c r="S171" t="s">
        <v>476</v>
      </c>
      <c r="T171"/>
      <c r="U171" s="2">
        <f>Table1[[#This Row],[Coal Power Plant Size (MW) or Share]]*0.593*9057*211.9*10^(-9)</f>
        <v>0</v>
      </c>
      <c r="V171" s="2">
        <f>Table1[[#This Row],[Annual Emissions (MMTCO2)]]*40</f>
        <v>0</v>
      </c>
      <c r="W171"/>
      <c r="X171"/>
      <c r="Y171"/>
      <c r="Z171" s="1"/>
      <c r="AA171" s="1"/>
    </row>
    <row r="172" spans="1:27" ht="27" hidden="1" customHeight="1">
      <c r="A172" t="s">
        <v>45</v>
      </c>
      <c r="B172" t="s">
        <v>125</v>
      </c>
      <c r="C172" t="s">
        <v>126</v>
      </c>
      <c r="D172" s="6">
        <v>52000000</v>
      </c>
      <c r="E172"/>
      <c r="F172"/>
      <c r="G172"/>
      <c r="H172" t="s">
        <v>1615</v>
      </c>
      <c r="I172" t="s">
        <v>1774</v>
      </c>
      <c r="J172" s="28">
        <v>41309</v>
      </c>
      <c r="K172" t="s">
        <v>990</v>
      </c>
      <c r="L172" t="s">
        <v>20</v>
      </c>
      <c r="M172"/>
      <c r="N172"/>
      <c r="O172"/>
      <c r="P172"/>
      <c r="Q172" t="s">
        <v>634</v>
      </c>
      <c r="R172" t="s">
        <v>636</v>
      </c>
      <c r="S172" t="s">
        <v>703</v>
      </c>
      <c r="T172">
        <v>33</v>
      </c>
      <c r="U172" s="2">
        <f>Table1[[#This Row],[Coal Power Plant Size (MW) or Share]]*0.593*9057*211.9*10^(-9)</f>
        <v>3.7556400152700002E-2</v>
      </c>
      <c r="V172" s="2">
        <f>Table1[[#This Row],[Annual Emissions (MMTCO2)]]*40</f>
        <v>1.5022560061080001</v>
      </c>
      <c r="W172"/>
      <c r="X172">
        <v>33</v>
      </c>
      <c r="Y172"/>
      <c r="Z172" s="1"/>
      <c r="AA172" s="1"/>
    </row>
    <row r="173" spans="1:27" ht="27" hidden="1" customHeight="1">
      <c r="A173" t="s">
        <v>45</v>
      </c>
      <c r="B173" t="s">
        <v>125</v>
      </c>
      <c r="C173" t="s">
        <v>126</v>
      </c>
      <c r="D173" s="6">
        <v>54850000</v>
      </c>
      <c r="E173"/>
      <c r="F173"/>
      <c r="G173"/>
      <c r="H173" t="s">
        <v>1713</v>
      </c>
      <c r="I173" t="s">
        <v>1932</v>
      </c>
      <c r="J173" s="28">
        <v>42542</v>
      </c>
      <c r="K173" t="s">
        <v>1130</v>
      </c>
      <c r="L173" t="s">
        <v>86</v>
      </c>
      <c r="M173" t="s">
        <v>1714</v>
      </c>
      <c r="N173"/>
      <c r="O173"/>
      <c r="P173"/>
      <c r="Q173" t="s">
        <v>634</v>
      </c>
      <c r="R173" t="s">
        <v>636</v>
      </c>
      <c r="S173" t="s">
        <v>703</v>
      </c>
      <c r="T173">
        <v>175</v>
      </c>
      <c r="U173" s="2">
        <f>Table1[[#This Row],[Coal Power Plant Size (MW) or Share]]*0.593*9057*211.9*10^(-9)</f>
        <v>0.19916272808249999</v>
      </c>
      <c r="V173" s="2">
        <f>Table1[[#This Row],[Annual Emissions (MMTCO2)]]*40</f>
        <v>7.9665091232999998</v>
      </c>
      <c r="W173"/>
      <c r="X173">
        <v>175</v>
      </c>
      <c r="Y173"/>
      <c r="Z173" s="1"/>
      <c r="AA173" s="1"/>
    </row>
    <row r="174" spans="1:27" ht="27" hidden="1" customHeight="1">
      <c r="A174" t="s">
        <v>45</v>
      </c>
      <c r="B174" t="s">
        <v>1120</v>
      </c>
      <c r="C174" t="s">
        <v>1465</v>
      </c>
      <c r="D174" s="6">
        <v>145000000</v>
      </c>
      <c r="E174" t="s">
        <v>201</v>
      </c>
      <c r="F174"/>
      <c r="G174" t="s">
        <v>1204</v>
      </c>
      <c r="H174" t="s">
        <v>1205</v>
      </c>
      <c r="I174" t="s">
        <v>1206</v>
      </c>
      <c r="J174" s="28">
        <v>42773</v>
      </c>
      <c r="K174" t="s">
        <v>990</v>
      </c>
      <c r="L174" t="s">
        <v>25</v>
      </c>
      <c r="M174"/>
      <c r="N174"/>
      <c r="O174"/>
      <c r="P174"/>
      <c r="Q174" t="s">
        <v>634</v>
      </c>
      <c r="R174"/>
      <c r="S174" t="s">
        <v>703</v>
      </c>
      <c r="T174"/>
      <c r="U174" s="2">
        <f>Table1[[#This Row],[Coal Power Plant Size (MW) or Share]]*0.593*9057*211.9*10^(-9)</f>
        <v>0</v>
      </c>
      <c r="V174" s="2">
        <f>Table1[[#This Row],[Annual Emissions (MMTCO2)]]*40</f>
        <v>0</v>
      </c>
      <c r="W174"/>
      <c r="X174"/>
      <c r="Y174"/>
      <c r="Z174" s="1"/>
      <c r="AA174" s="1"/>
    </row>
    <row r="175" spans="1:27" ht="27" hidden="1" customHeight="1">
      <c r="A175" t="s">
        <v>45</v>
      </c>
      <c r="B175" t="s">
        <v>552</v>
      </c>
      <c r="C175" t="s">
        <v>552</v>
      </c>
      <c r="D175" s="6"/>
      <c r="E175"/>
      <c r="F175"/>
      <c r="G175"/>
      <c r="H175" t="s">
        <v>904</v>
      </c>
      <c r="I175" t="s">
        <v>905</v>
      </c>
      <c r="J175" s="28">
        <v>54789</v>
      </c>
      <c r="K175" t="s">
        <v>989</v>
      </c>
      <c r="L175" t="s">
        <v>78</v>
      </c>
      <c r="M175"/>
      <c r="N175" t="s">
        <v>903</v>
      </c>
      <c r="O175"/>
      <c r="P175"/>
      <c r="Q175" t="s">
        <v>634</v>
      </c>
      <c r="R175"/>
      <c r="S175" t="s">
        <v>476</v>
      </c>
      <c r="T175"/>
      <c r="U175" s="2">
        <f>Table1[[#This Row],[Coal Power Plant Size (MW) or Share]]*0.593*9057*211.9*10^(-9)</f>
        <v>0</v>
      </c>
      <c r="V175" s="2">
        <f>Table1[[#This Row],[Annual Emissions (MMTCO2)]]*40</f>
        <v>0</v>
      </c>
      <c r="W175"/>
      <c r="X175"/>
      <c r="Y175"/>
      <c r="Z175" s="1"/>
      <c r="AA175" s="1"/>
    </row>
    <row r="176" spans="1:27" ht="27" hidden="1" customHeight="1">
      <c r="A176" t="s">
        <v>648</v>
      </c>
      <c r="B176" t="s">
        <v>563</v>
      </c>
      <c r="C176" t="s">
        <v>2030</v>
      </c>
      <c r="D176" s="6">
        <v>55000000</v>
      </c>
      <c r="E176"/>
      <c r="F176"/>
      <c r="G176"/>
      <c r="H176" t="s">
        <v>1516</v>
      </c>
      <c r="I176" t="s">
        <v>1762</v>
      </c>
      <c r="J176" s="28">
        <v>41312</v>
      </c>
      <c r="K176" t="s">
        <v>992</v>
      </c>
      <c r="L176" t="s">
        <v>200</v>
      </c>
      <c r="M176"/>
      <c r="N176"/>
      <c r="O176"/>
      <c r="P176"/>
      <c r="Q176" t="s">
        <v>634</v>
      </c>
      <c r="R176" t="s">
        <v>1469</v>
      </c>
      <c r="S176" t="s">
        <v>703</v>
      </c>
      <c r="T176">
        <v>288</v>
      </c>
      <c r="U176" s="2">
        <f>Table1[[#This Row],[Coal Power Plant Size (MW) or Share]]*0.593*9057*211.9*10^(-9)</f>
        <v>0.32776494678719997</v>
      </c>
      <c r="V176" s="2">
        <f>Table1[[#This Row],[Annual Emissions (MMTCO2)]]*40</f>
        <v>13.110597871487998</v>
      </c>
      <c r="W176"/>
      <c r="X176">
        <v>288</v>
      </c>
      <c r="Y176"/>
      <c r="Z176" s="1"/>
      <c r="AA176" s="1"/>
    </row>
    <row r="177" spans="1:27" ht="27" hidden="1" customHeight="1">
      <c r="A177" t="s">
        <v>648</v>
      </c>
      <c r="B177" t="s">
        <v>563</v>
      </c>
      <c r="C177" t="s">
        <v>2030</v>
      </c>
      <c r="D177" s="6">
        <v>5560000</v>
      </c>
      <c r="E177"/>
      <c r="F177"/>
      <c r="G177"/>
      <c r="H177" t="s">
        <v>1516</v>
      </c>
      <c r="I177" t="s">
        <v>1762</v>
      </c>
      <c r="J177" s="28">
        <v>41312</v>
      </c>
      <c r="K177" t="s">
        <v>992</v>
      </c>
      <c r="L177" t="s">
        <v>200</v>
      </c>
      <c r="M177"/>
      <c r="N177"/>
      <c r="O177"/>
      <c r="P177"/>
      <c r="Q177" t="s">
        <v>634</v>
      </c>
      <c r="R177" t="s">
        <v>1469</v>
      </c>
      <c r="S177" t="s">
        <v>703</v>
      </c>
      <c r="T177"/>
      <c r="U177" s="2">
        <f>Table1[[#This Row],[Coal Power Plant Size (MW) or Share]]*0.593*9057*211.9*10^(-9)</f>
        <v>0</v>
      </c>
      <c r="V177" s="2">
        <f>Table1[[#This Row],[Annual Emissions (MMTCO2)]]*40</f>
        <v>0</v>
      </c>
      <c r="W177"/>
      <c r="X177"/>
      <c r="Y177"/>
      <c r="Z177" s="1"/>
      <c r="AA177" s="1"/>
    </row>
    <row r="178" spans="1:27" ht="27" hidden="1" customHeight="1">
      <c r="A178" t="s">
        <v>648</v>
      </c>
      <c r="B178" t="s">
        <v>563</v>
      </c>
      <c r="C178" t="s">
        <v>2030</v>
      </c>
      <c r="D178" s="6">
        <v>11040000</v>
      </c>
      <c r="E178"/>
      <c r="F178"/>
      <c r="G178"/>
      <c r="H178" t="s">
        <v>1516</v>
      </c>
      <c r="I178" t="s">
        <v>1762</v>
      </c>
      <c r="J178" s="28">
        <v>41312</v>
      </c>
      <c r="K178" t="s">
        <v>992</v>
      </c>
      <c r="L178" t="s">
        <v>200</v>
      </c>
      <c r="M178"/>
      <c r="N178"/>
      <c r="O178"/>
      <c r="P178"/>
      <c r="Q178" t="s">
        <v>634</v>
      </c>
      <c r="R178" t="s">
        <v>1469</v>
      </c>
      <c r="S178" t="s">
        <v>703</v>
      </c>
      <c r="T178"/>
      <c r="U178" s="2">
        <f>Table1[[#This Row],[Coal Power Plant Size (MW) or Share]]*0.593*9057*211.9*10^(-9)</f>
        <v>0</v>
      </c>
      <c r="V178" s="2">
        <f>Table1[[#This Row],[Annual Emissions (MMTCO2)]]*40</f>
        <v>0</v>
      </c>
      <c r="W178"/>
      <c r="X178"/>
      <c r="Y178"/>
      <c r="Z178" s="1"/>
      <c r="AA178" s="1"/>
    </row>
    <row r="179" spans="1:27" ht="27" hidden="1" customHeight="1">
      <c r="A179" t="s">
        <v>648</v>
      </c>
      <c r="B179" t="s">
        <v>563</v>
      </c>
      <c r="C179" t="s">
        <v>2030</v>
      </c>
      <c r="D179" s="6">
        <v>98960000</v>
      </c>
      <c r="E179"/>
      <c r="F179"/>
      <c r="G179"/>
      <c r="H179" t="s">
        <v>1467</v>
      </c>
      <c r="I179" t="s">
        <v>1777</v>
      </c>
      <c r="J179" s="28">
        <v>41388</v>
      </c>
      <c r="K179" t="s">
        <v>990</v>
      </c>
      <c r="L179" t="s">
        <v>1466</v>
      </c>
      <c r="M179"/>
      <c r="N179"/>
      <c r="O179"/>
      <c r="P179"/>
      <c r="Q179" t="s">
        <v>634</v>
      </c>
      <c r="R179" t="s">
        <v>636</v>
      </c>
      <c r="S179" t="s">
        <v>703</v>
      </c>
      <c r="T179">
        <v>88</v>
      </c>
      <c r="U179" s="2">
        <f>Table1[[#This Row],[Coal Power Plant Size (MW) or Share]]*0.593*9057*211.9*10^(-9)</f>
        <v>0.1001504004072</v>
      </c>
      <c r="V179" s="2">
        <f>Table1[[#This Row],[Annual Emissions (MMTCO2)]]*40</f>
        <v>4.0060160162880001</v>
      </c>
      <c r="W179"/>
      <c r="X179">
        <v>88</v>
      </c>
      <c r="Y179"/>
      <c r="Z179" s="1"/>
      <c r="AA179" s="1"/>
    </row>
    <row r="180" spans="1:27" ht="27" hidden="1" customHeight="1">
      <c r="A180" t="s">
        <v>648</v>
      </c>
      <c r="B180" t="s">
        <v>563</v>
      </c>
      <c r="C180" t="s">
        <v>2030</v>
      </c>
      <c r="D180" s="6">
        <v>4610000</v>
      </c>
      <c r="E180"/>
      <c r="F180"/>
      <c r="G180"/>
      <c r="H180" t="s">
        <v>1536</v>
      </c>
      <c r="I180" t="s">
        <v>1785</v>
      </c>
      <c r="J180" s="28">
        <v>41485</v>
      </c>
      <c r="K180" t="s">
        <v>992</v>
      </c>
      <c r="L180" t="s">
        <v>392</v>
      </c>
      <c r="M180" t="s">
        <v>1537</v>
      </c>
      <c r="N180"/>
      <c r="O180"/>
      <c r="P180"/>
      <c r="Q180" t="s">
        <v>634</v>
      </c>
      <c r="R180" t="s">
        <v>1538</v>
      </c>
      <c r="S180" t="s">
        <v>703</v>
      </c>
      <c r="T180">
        <v>15.8</v>
      </c>
      <c r="U180" s="2">
        <f>Table1[[#This Row],[Coal Power Plant Size (MW) or Share]]*0.593*9057*211.9*10^(-9)</f>
        <v>1.7981549164020002E-2</v>
      </c>
      <c r="V180" s="2">
        <f>Table1[[#This Row],[Annual Emissions (MMTCO2)]]*40</f>
        <v>0.7192619665608001</v>
      </c>
      <c r="W180"/>
      <c r="X180">
        <v>15.8</v>
      </c>
      <c r="Y180"/>
      <c r="Z180" s="1"/>
      <c r="AA180" s="1"/>
    </row>
    <row r="181" spans="1:27" ht="27" hidden="1" customHeight="1">
      <c r="A181" t="s">
        <v>648</v>
      </c>
      <c r="B181" t="s">
        <v>563</v>
      </c>
      <c r="C181" t="s">
        <v>2030</v>
      </c>
      <c r="D181" s="6">
        <v>89530000</v>
      </c>
      <c r="E181"/>
      <c r="F181"/>
      <c r="G181"/>
      <c r="H181" t="s">
        <v>1688</v>
      </c>
      <c r="I181" t="s">
        <v>1790</v>
      </c>
      <c r="J181" s="28">
        <v>41488</v>
      </c>
      <c r="K181" t="s">
        <v>1130</v>
      </c>
      <c r="L181" t="s">
        <v>86</v>
      </c>
      <c r="M181" t="s">
        <v>1689</v>
      </c>
      <c r="N181"/>
      <c r="O181"/>
      <c r="P181"/>
      <c r="Q181" t="s">
        <v>634</v>
      </c>
      <c r="R181" t="s">
        <v>636</v>
      </c>
      <c r="S181" t="s">
        <v>703</v>
      </c>
      <c r="T181">
        <v>106.8</v>
      </c>
      <c r="U181" s="2">
        <f>Table1[[#This Row],[Coal Power Plant Size (MW) or Share]]*0.593*9057*211.9*10^(-9)</f>
        <v>0.12154616776692</v>
      </c>
      <c r="V181" s="2">
        <f>Table1[[#This Row],[Annual Emissions (MMTCO2)]]*40</f>
        <v>4.8618467106768</v>
      </c>
      <c r="W181"/>
      <c r="X181">
        <v>106.8</v>
      </c>
      <c r="Y181"/>
      <c r="Z181" s="1"/>
      <c r="AA181" s="1"/>
    </row>
    <row r="182" spans="1:27" ht="27" hidden="1" customHeight="1">
      <c r="A182" t="s">
        <v>648</v>
      </c>
      <c r="B182" t="s">
        <v>563</v>
      </c>
      <c r="C182" t="s">
        <v>2030</v>
      </c>
      <c r="D182" s="6">
        <v>44640000</v>
      </c>
      <c r="E182"/>
      <c r="F182"/>
      <c r="G182"/>
      <c r="H182" t="s">
        <v>1715</v>
      </c>
      <c r="I182" t="s">
        <v>1861</v>
      </c>
      <c r="J182" s="28">
        <v>41964</v>
      </c>
      <c r="K182" t="s">
        <v>992</v>
      </c>
      <c r="L182" t="s">
        <v>392</v>
      </c>
      <c r="M182" t="s">
        <v>1529</v>
      </c>
      <c r="N182"/>
      <c r="O182"/>
      <c r="P182"/>
      <c r="Q182" t="s">
        <v>634</v>
      </c>
      <c r="R182" t="s">
        <v>1538</v>
      </c>
      <c r="S182" t="s">
        <v>703</v>
      </c>
      <c r="T182">
        <v>20.2</v>
      </c>
      <c r="U182" s="2">
        <f>Table1[[#This Row],[Coal Power Plant Size (MW) or Share]]*0.593*9057*211.9*10^(-9)</f>
        <v>2.2989069184380002E-2</v>
      </c>
      <c r="V182" s="2">
        <f>Table1[[#This Row],[Annual Emissions (MMTCO2)]]*40</f>
        <v>0.91956276737520004</v>
      </c>
      <c r="W182"/>
      <c r="X182">
        <v>20.2</v>
      </c>
      <c r="Y182"/>
      <c r="Z182" s="1"/>
      <c r="AA182" s="1"/>
    </row>
    <row r="183" spans="1:27" ht="27" hidden="1" customHeight="1">
      <c r="A183" t="s">
        <v>648</v>
      </c>
      <c r="B183" t="s">
        <v>563</v>
      </c>
      <c r="C183" t="s">
        <v>2030</v>
      </c>
      <c r="D183" s="6">
        <v>88500000</v>
      </c>
      <c r="E183"/>
      <c r="F183"/>
      <c r="G183"/>
      <c r="H183" t="s">
        <v>1700</v>
      </c>
      <c r="I183" t="s">
        <v>1876</v>
      </c>
      <c r="J183" s="28">
        <v>42086</v>
      </c>
      <c r="K183" t="s">
        <v>992</v>
      </c>
      <c r="L183" t="s">
        <v>392</v>
      </c>
      <c r="M183" t="s">
        <v>1529</v>
      </c>
      <c r="N183"/>
      <c r="O183"/>
      <c r="P183"/>
      <c r="Q183" t="s">
        <v>634</v>
      </c>
      <c r="R183" t="s">
        <v>1538</v>
      </c>
      <c r="S183" t="s">
        <v>703</v>
      </c>
      <c r="T183">
        <v>40</v>
      </c>
      <c r="U183" s="2">
        <f>Table1[[#This Row],[Coal Power Plant Size (MW) or Share]]*0.593*9057*211.9*10^(-9)</f>
        <v>4.5522909275999994E-2</v>
      </c>
      <c r="V183" s="2">
        <f>Table1[[#This Row],[Annual Emissions (MMTCO2)]]*40</f>
        <v>1.8209163710399998</v>
      </c>
      <c r="W183"/>
      <c r="X183">
        <v>40</v>
      </c>
      <c r="Y183"/>
      <c r="Z183" s="1"/>
      <c r="AA183" s="1"/>
    </row>
    <row r="184" spans="1:27" ht="27" hidden="1" customHeight="1">
      <c r="A184" t="s">
        <v>648</v>
      </c>
      <c r="B184" t="s">
        <v>563</v>
      </c>
      <c r="C184" t="s">
        <v>2030</v>
      </c>
      <c r="D184" s="6">
        <v>204690000</v>
      </c>
      <c r="E184"/>
      <c r="F184"/>
      <c r="G184"/>
      <c r="H184" t="s">
        <v>1708</v>
      </c>
      <c r="I184" t="s">
        <v>1761</v>
      </c>
      <c r="J184" s="28">
        <v>42184</v>
      </c>
      <c r="K184" t="s">
        <v>992</v>
      </c>
      <c r="L184" t="s">
        <v>200</v>
      </c>
      <c r="M184"/>
      <c r="N184"/>
      <c r="O184"/>
      <c r="P184"/>
      <c r="Q184" t="s">
        <v>634</v>
      </c>
      <c r="R184" t="s">
        <v>1469</v>
      </c>
      <c r="S184" t="s">
        <v>703</v>
      </c>
      <c r="T184">
        <f>400/2</f>
        <v>200</v>
      </c>
      <c r="U184" s="2">
        <f>Table1[[#This Row],[Coal Power Plant Size (MW) or Share]]*0.593*9057*211.9*10^(-9)</f>
        <v>0.22761454638</v>
      </c>
      <c r="V184" s="2">
        <f>Table1[[#This Row],[Annual Emissions (MMTCO2)]]*40</f>
        <v>9.1045818551999993</v>
      </c>
      <c r="W184"/>
      <c r="X184">
        <f>400/2</f>
        <v>200</v>
      </c>
      <c r="Y184"/>
      <c r="Z184" s="1"/>
      <c r="AA184" s="1"/>
    </row>
    <row r="185" spans="1:27" ht="27" hidden="1" customHeight="1">
      <c r="A185" t="s">
        <v>648</v>
      </c>
      <c r="B185" t="s">
        <v>563</v>
      </c>
      <c r="C185" t="s">
        <v>2030</v>
      </c>
      <c r="D185" s="6">
        <v>15410000</v>
      </c>
      <c r="E185"/>
      <c r="F185"/>
      <c r="G185"/>
      <c r="H185" t="s">
        <v>1708</v>
      </c>
      <c r="I185" t="s">
        <v>1761</v>
      </c>
      <c r="J185" s="28">
        <v>42184</v>
      </c>
      <c r="K185" t="s">
        <v>992</v>
      </c>
      <c r="L185" t="s">
        <v>200</v>
      </c>
      <c r="M185"/>
      <c r="N185"/>
      <c r="O185"/>
      <c r="P185"/>
      <c r="Q185" t="s">
        <v>634</v>
      </c>
      <c r="R185" t="s">
        <v>1469</v>
      </c>
      <c r="S185" t="s">
        <v>703</v>
      </c>
      <c r="T185">
        <f>400/2</f>
        <v>200</v>
      </c>
      <c r="U185" s="2">
        <f>Table1[[#This Row],[Coal Power Plant Size (MW) or Share]]*0.593*9057*211.9*10^(-9)</f>
        <v>0.22761454638</v>
      </c>
      <c r="V185" s="2">
        <f>Table1[[#This Row],[Annual Emissions (MMTCO2)]]*40</f>
        <v>9.1045818551999993</v>
      </c>
      <c r="W185"/>
      <c r="X185">
        <f>400/2</f>
        <v>200</v>
      </c>
      <c r="Y185"/>
      <c r="Z185" s="1"/>
      <c r="AA185" s="1"/>
    </row>
    <row r="186" spans="1:27" ht="27" hidden="1" customHeight="1">
      <c r="A186" t="s">
        <v>648</v>
      </c>
      <c r="B186" t="s">
        <v>1736</v>
      </c>
      <c r="C186" t="s">
        <v>126</v>
      </c>
      <c r="D186" s="6">
        <v>0</v>
      </c>
      <c r="E186"/>
      <c r="F186"/>
      <c r="G186"/>
      <c r="H186" t="s">
        <v>1541</v>
      </c>
      <c r="I186" t="s">
        <v>1756</v>
      </c>
      <c r="J186" s="28">
        <v>42338</v>
      </c>
      <c r="K186" t="s">
        <v>993</v>
      </c>
      <c r="L186" t="s">
        <v>213</v>
      </c>
      <c r="M186"/>
      <c r="N186"/>
      <c r="O186"/>
      <c r="P186"/>
      <c r="Q186" t="s">
        <v>634</v>
      </c>
      <c r="R186" t="s">
        <v>636</v>
      </c>
      <c r="S186" t="s">
        <v>703</v>
      </c>
      <c r="T186">
        <v>200</v>
      </c>
      <c r="U186" s="2">
        <f>Table1[[#This Row],[Coal Power Plant Size (MW) or Share]]*0.593*9057*211.9*10^(-9)</f>
        <v>0.22761454638</v>
      </c>
      <c r="V186" s="2">
        <f>Table1[[#This Row],[Annual Emissions (MMTCO2)]]*40</f>
        <v>9.1045818551999993</v>
      </c>
      <c r="W186"/>
      <c r="X186">
        <v>200</v>
      </c>
      <c r="Y186"/>
      <c r="Z186" s="1"/>
      <c r="AA186" s="1"/>
    </row>
    <row r="187" spans="1:27" ht="27" hidden="1" customHeight="1">
      <c r="A187" t="s">
        <v>648</v>
      </c>
      <c r="B187" t="s">
        <v>563</v>
      </c>
      <c r="C187" t="s">
        <v>2030</v>
      </c>
      <c r="D187" s="6">
        <v>42880000</v>
      </c>
      <c r="E187"/>
      <c r="F187"/>
      <c r="G187"/>
      <c r="H187" t="s">
        <v>1490</v>
      </c>
      <c r="I187" t="s">
        <v>1913</v>
      </c>
      <c r="J187" s="28">
        <v>42452</v>
      </c>
      <c r="K187" t="s">
        <v>992</v>
      </c>
      <c r="L187" t="s">
        <v>1491</v>
      </c>
      <c r="M187"/>
      <c r="N187"/>
      <c r="O187"/>
      <c r="P187"/>
      <c r="Q187" t="s">
        <v>634</v>
      </c>
      <c r="R187" t="s">
        <v>636</v>
      </c>
      <c r="S187" t="s">
        <v>703</v>
      </c>
      <c r="T187">
        <f>1000/2</f>
        <v>500</v>
      </c>
      <c r="U187" s="2">
        <f>Table1[[#This Row],[Coal Power Plant Size (MW) or Share]]*0.593*9057*211.9*10^(-9)</f>
        <v>0.56903636595000007</v>
      </c>
      <c r="V187" s="2">
        <f>Table1[[#This Row],[Annual Emissions (MMTCO2)]]*40</f>
        <v>22.761454638000004</v>
      </c>
      <c r="W187"/>
      <c r="X187">
        <f>1000/2</f>
        <v>500</v>
      </c>
      <c r="Y187"/>
      <c r="Z187" s="1"/>
      <c r="AA187" s="1"/>
    </row>
    <row r="188" spans="1:27" ht="27" hidden="1" customHeight="1">
      <c r="A188" t="s">
        <v>648</v>
      </c>
      <c r="B188" t="s">
        <v>563</v>
      </c>
      <c r="C188" t="s">
        <v>2030</v>
      </c>
      <c r="D188" s="6">
        <v>85770000</v>
      </c>
      <c r="E188"/>
      <c r="F188"/>
      <c r="G188"/>
      <c r="H188" t="s">
        <v>1490</v>
      </c>
      <c r="I188" t="s">
        <v>1913</v>
      </c>
      <c r="J188" s="28">
        <v>42452</v>
      </c>
      <c r="K188" t="s">
        <v>992</v>
      </c>
      <c r="L188" t="s">
        <v>1491</v>
      </c>
      <c r="M188"/>
      <c r="N188"/>
      <c r="O188"/>
      <c r="P188"/>
      <c r="Q188" t="s">
        <v>634</v>
      </c>
      <c r="R188" t="s">
        <v>636</v>
      </c>
      <c r="S188" t="s">
        <v>703</v>
      </c>
      <c r="T188">
        <f>1000/2</f>
        <v>500</v>
      </c>
      <c r="U188" s="2">
        <f>Table1[[#This Row],[Coal Power Plant Size (MW) or Share]]*0.593*9057*211.9*10^(-9)</f>
        <v>0.56903636595000007</v>
      </c>
      <c r="V188" s="2">
        <f>Table1[[#This Row],[Annual Emissions (MMTCO2)]]*40</f>
        <v>22.761454638000004</v>
      </c>
      <c r="W188"/>
      <c r="X188">
        <f>1000/2</f>
        <v>500</v>
      </c>
      <c r="Y188"/>
      <c r="Z188" s="1"/>
      <c r="AA188" s="1"/>
    </row>
    <row r="189" spans="1:27" ht="27" hidden="1" customHeight="1">
      <c r="A189" t="s">
        <v>648</v>
      </c>
      <c r="B189" t="s">
        <v>563</v>
      </c>
      <c r="C189" t="s">
        <v>2030</v>
      </c>
      <c r="D189" s="6">
        <v>23590000</v>
      </c>
      <c r="E189"/>
      <c r="F189"/>
      <c r="G189"/>
      <c r="H189" t="s">
        <v>1586</v>
      </c>
      <c r="I189" t="s">
        <v>1950</v>
      </c>
      <c r="J189" s="28">
        <v>42684</v>
      </c>
      <c r="K189" t="s">
        <v>992</v>
      </c>
      <c r="L189" t="s">
        <v>392</v>
      </c>
      <c r="M189" t="s">
        <v>1529</v>
      </c>
      <c r="N189"/>
      <c r="O189"/>
      <c r="P189"/>
      <c r="Q189" t="s">
        <v>634</v>
      </c>
      <c r="R189" t="s">
        <v>1538</v>
      </c>
      <c r="S189" t="s">
        <v>703</v>
      </c>
      <c r="T189">
        <v>42</v>
      </c>
      <c r="U189" s="2">
        <f>Table1[[#This Row],[Coal Power Plant Size (MW) or Share]]*0.593*9057*211.9*10^(-9)</f>
        <v>4.77990547398E-2</v>
      </c>
      <c r="V189" s="2">
        <f>Table1[[#This Row],[Annual Emissions (MMTCO2)]]*40</f>
        <v>1.911962189592</v>
      </c>
      <c r="W189"/>
      <c r="X189">
        <v>42</v>
      </c>
      <c r="Y189"/>
      <c r="Z189" s="1"/>
      <c r="AA189" s="1"/>
    </row>
    <row r="190" spans="1:27" ht="27" hidden="1" customHeight="1">
      <c r="A190" t="s">
        <v>648</v>
      </c>
      <c r="B190" t="s">
        <v>563</v>
      </c>
      <c r="C190" t="s">
        <v>2030</v>
      </c>
      <c r="D190" s="6">
        <v>30000000</v>
      </c>
      <c r="E190"/>
      <c r="F190"/>
      <c r="G190"/>
      <c r="H190" t="s">
        <v>1657</v>
      </c>
      <c r="I190" t="s">
        <v>1812</v>
      </c>
      <c r="J190" s="28">
        <v>54789</v>
      </c>
      <c r="K190" t="s">
        <v>1451</v>
      </c>
      <c r="L190" t="s">
        <v>36</v>
      </c>
      <c r="M190"/>
      <c r="N190"/>
      <c r="O190"/>
      <c r="P190"/>
      <c r="Q190" t="s">
        <v>634</v>
      </c>
      <c r="R190" t="s">
        <v>636</v>
      </c>
      <c r="S190" t="s">
        <v>476</v>
      </c>
      <c r="T190">
        <v>55</v>
      </c>
      <c r="U190" s="2">
        <f>Table1[[#This Row],[Coal Power Plant Size (MW) or Share]]*0.593*9057*211.9*10^(-9)</f>
        <v>6.2594000254499987E-2</v>
      </c>
      <c r="V190" s="2">
        <f>Table1[[#This Row],[Annual Emissions (MMTCO2)]]*40</f>
        <v>2.5037600101799997</v>
      </c>
      <c r="W190"/>
      <c r="X190">
        <v>55</v>
      </c>
      <c r="Y190"/>
      <c r="Z190" s="1"/>
      <c r="AA190" s="1"/>
    </row>
    <row r="191" spans="1:27" ht="27" hidden="1" customHeight="1">
      <c r="A191" t="s">
        <v>648</v>
      </c>
      <c r="B191" t="s">
        <v>563</v>
      </c>
      <c r="C191" t="s">
        <v>1465</v>
      </c>
      <c r="D191" s="6">
        <v>48000000</v>
      </c>
      <c r="E191"/>
      <c r="F191"/>
      <c r="G191"/>
      <c r="H191" t="s">
        <v>592</v>
      </c>
      <c r="I191" t="s">
        <v>654</v>
      </c>
      <c r="J191" s="28">
        <v>54789</v>
      </c>
      <c r="K191" t="s">
        <v>991</v>
      </c>
      <c r="L191" t="s">
        <v>67</v>
      </c>
      <c r="M191"/>
      <c r="N191"/>
      <c r="O191"/>
      <c r="P191"/>
      <c r="Q191" t="s">
        <v>634</v>
      </c>
      <c r="R191" t="s">
        <v>636</v>
      </c>
      <c r="S191" t="s">
        <v>476</v>
      </c>
      <c r="T191">
        <v>20.83</v>
      </c>
      <c r="U191" s="2">
        <f>Table1[[#This Row],[Coal Power Plant Size (MW) or Share]]*0.593*9057*211.9*10^(-9)</f>
        <v>2.3706055005477001E-2</v>
      </c>
      <c r="V191" s="2">
        <f>Table1[[#This Row],[Annual Emissions (MMTCO2)]]*40</f>
        <v>0.94824220021908001</v>
      </c>
      <c r="W191"/>
      <c r="X191">
        <v>20.83</v>
      </c>
      <c r="Y191"/>
      <c r="Z191" s="1"/>
      <c r="AA191" s="1"/>
    </row>
    <row r="192" spans="1:27" ht="27" hidden="1" customHeight="1">
      <c r="A192" t="s">
        <v>1737</v>
      </c>
      <c r="B192" t="s">
        <v>1734</v>
      </c>
      <c r="C192" t="s">
        <v>126</v>
      </c>
      <c r="D192" s="6">
        <v>0</v>
      </c>
      <c r="E192"/>
      <c r="F192"/>
      <c r="G192"/>
      <c r="H192" t="s">
        <v>1472</v>
      </c>
      <c r="I192" t="s">
        <v>1885</v>
      </c>
      <c r="J192" s="28">
        <v>54789</v>
      </c>
      <c r="K192" t="s">
        <v>990</v>
      </c>
      <c r="L192" t="s">
        <v>20</v>
      </c>
      <c r="M192"/>
      <c r="N192"/>
      <c r="O192"/>
      <c r="P192"/>
      <c r="Q192" t="s">
        <v>634</v>
      </c>
      <c r="R192" t="s">
        <v>1473</v>
      </c>
      <c r="S192" t="s">
        <v>476</v>
      </c>
      <c r="T192">
        <v>210</v>
      </c>
      <c r="U192" s="2">
        <f>Table1[[#This Row],[Coal Power Plant Size (MW) or Share]]*0.593*9057*211.9*10^(-9)</f>
        <v>0.238995273699</v>
      </c>
      <c r="V192" s="2">
        <f>Table1[[#This Row],[Annual Emissions (MMTCO2)]]*40</f>
        <v>9.5598109479600009</v>
      </c>
      <c r="W192"/>
      <c r="X192">
        <v>210</v>
      </c>
      <c r="Y192"/>
      <c r="Z192" s="1"/>
      <c r="AA192" s="1"/>
    </row>
    <row r="193" spans="1:27" ht="27" hidden="1" customHeight="1">
      <c r="A193" t="s">
        <v>1737</v>
      </c>
      <c r="B193" t="s">
        <v>1734</v>
      </c>
      <c r="C193" t="s">
        <v>126</v>
      </c>
      <c r="D193" s="6">
        <v>10000000</v>
      </c>
      <c r="E193"/>
      <c r="F193"/>
      <c r="G193"/>
      <c r="H193" t="s">
        <v>1627</v>
      </c>
      <c r="I193" t="s">
        <v>1910</v>
      </c>
      <c r="J193" s="28">
        <v>54789</v>
      </c>
      <c r="K193" t="s">
        <v>990</v>
      </c>
      <c r="L193" t="s">
        <v>1580</v>
      </c>
      <c r="M193"/>
      <c r="N193"/>
      <c r="O193"/>
      <c r="P193"/>
      <c r="Q193" t="s">
        <v>634</v>
      </c>
      <c r="R193" t="s">
        <v>635</v>
      </c>
      <c r="S193" t="s">
        <v>476</v>
      </c>
      <c r="T193">
        <v>50</v>
      </c>
      <c r="U193" s="2">
        <f>Table1[[#This Row],[Coal Power Plant Size (MW) or Share]]*0.593*9057*211.9*10^(-9)</f>
        <v>5.6903636595000001E-2</v>
      </c>
      <c r="V193" s="2">
        <f>Table1[[#This Row],[Annual Emissions (MMTCO2)]]*40</f>
        <v>2.2761454637999998</v>
      </c>
      <c r="W193"/>
      <c r="X193">
        <v>50</v>
      </c>
      <c r="Y193"/>
      <c r="Z193" s="1"/>
      <c r="AA193" s="1"/>
    </row>
    <row r="194" spans="1:27" ht="27" hidden="1" customHeight="1">
      <c r="A194" t="s">
        <v>1737</v>
      </c>
      <c r="B194" t="s">
        <v>1734</v>
      </c>
      <c r="C194" t="s">
        <v>126</v>
      </c>
      <c r="D194" s="6">
        <v>31980000</v>
      </c>
      <c r="E194"/>
      <c r="F194"/>
      <c r="G194"/>
      <c r="H194" t="s">
        <v>1629</v>
      </c>
      <c r="I194" t="s">
        <v>1847</v>
      </c>
      <c r="J194" s="28">
        <v>54789</v>
      </c>
      <c r="K194" t="s">
        <v>1482</v>
      </c>
      <c r="L194" t="s">
        <v>1630</v>
      </c>
      <c r="M194"/>
      <c r="N194"/>
      <c r="O194"/>
      <c r="P194"/>
      <c r="Q194" t="s">
        <v>634</v>
      </c>
      <c r="R194" t="s">
        <v>635</v>
      </c>
      <c r="S194" t="s">
        <v>476</v>
      </c>
      <c r="T194">
        <v>30</v>
      </c>
      <c r="U194" s="2">
        <f>Table1[[#This Row],[Coal Power Plant Size (MW) or Share]]*0.593*9057*211.9*10^(-9)</f>
        <v>3.4142181957000008E-2</v>
      </c>
      <c r="V194" s="2">
        <f>Table1[[#This Row],[Annual Emissions (MMTCO2)]]*40</f>
        <v>1.3656872782800002</v>
      </c>
      <c r="W194"/>
      <c r="X194">
        <v>30</v>
      </c>
      <c r="Y194"/>
      <c r="Z194" s="1"/>
      <c r="AA194" s="1"/>
    </row>
    <row r="195" spans="1:27" ht="27" hidden="1" customHeight="1">
      <c r="A195" t="s">
        <v>1721</v>
      </c>
      <c r="B195" t="s">
        <v>1582</v>
      </c>
      <c r="C195" t="s">
        <v>126</v>
      </c>
      <c r="D195" s="6">
        <v>1500000</v>
      </c>
      <c r="E195"/>
      <c r="F195"/>
      <c r="G195"/>
      <c r="H195" t="s">
        <v>1666</v>
      </c>
      <c r="I195" t="s">
        <v>1828</v>
      </c>
      <c r="J195" s="28">
        <v>41913</v>
      </c>
      <c r="K195" t="s">
        <v>993</v>
      </c>
      <c r="L195" t="s">
        <v>1478</v>
      </c>
      <c r="M195"/>
      <c r="N195"/>
      <c r="O195"/>
      <c r="P195"/>
      <c r="Q195" t="s">
        <v>634</v>
      </c>
      <c r="R195" t="s">
        <v>635</v>
      </c>
      <c r="S195" t="s">
        <v>703</v>
      </c>
      <c r="T195">
        <f>10/3</f>
        <v>3.3333333333333335</v>
      </c>
      <c r="U195" s="2">
        <f>Table1[[#This Row],[Coal Power Plant Size (MW) or Share]]*0.593*9057*211.9*10^(-9)</f>
        <v>3.7935757729999999E-3</v>
      </c>
      <c r="V195" s="2">
        <f>Table1[[#This Row],[Annual Emissions (MMTCO2)]]*40</f>
        <v>0.15174303091999999</v>
      </c>
      <c r="W195"/>
      <c r="X195">
        <f>10/3</f>
        <v>3.3333333333333335</v>
      </c>
      <c r="Y195"/>
      <c r="Z195" s="1"/>
      <c r="AA195" s="1"/>
    </row>
    <row r="196" spans="1:27" ht="27" hidden="1" customHeight="1">
      <c r="A196" t="s">
        <v>1721</v>
      </c>
      <c r="B196" t="s">
        <v>1582</v>
      </c>
      <c r="C196" t="s">
        <v>126</v>
      </c>
      <c r="D196" s="6">
        <v>10500000</v>
      </c>
      <c r="E196"/>
      <c r="F196"/>
      <c r="G196"/>
      <c r="H196" t="s">
        <v>1498</v>
      </c>
      <c r="I196" t="s">
        <v>1830</v>
      </c>
      <c r="J196" s="28">
        <v>42143</v>
      </c>
      <c r="K196" t="s">
        <v>993</v>
      </c>
      <c r="L196" t="s">
        <v>1478</v>
      </c>
      <c r="M196"/>
      <c r="N196"/>
      <c r="O196"/>
      <c r="P196"/>
      <c r="Q196" t="s">
        <v>634</v>
      </c>
      <c r="R196" t="s">
        <v>635</v>
      </c>
      <c r="S196" t="s">
        <v>703</v>
      </c>
      <c r="T196">
        <v>10</v>
      </c>
      <c r="U196" s="2">
        <f>Table1[[#This Row],[Coal Power Plant Size (MW) or Share]]*0.593*9057*211.9*10^(-9)</f>
        <v>1.1380727318999998E-2</v>
      </c>
      <c r="V196" s="2">
        <f>Table1[[#This Row],[Annual Emissions (MMTCO2)]]*40</f>
        <v>0.45522909275999995</v>
      </c>
      <c r="W196"/>
      <c r="X196">
        <v>10</v>
      </c>
      <c r="Y196"/>
      <c r="Z196" s="1"/>
      <c r="AA196" s="1"/>
    </row>
    <row r="197" spans="1:27" ht="27" hidden="1" customHeight="1">
      <c r="A197" t="s">
        <v>1721</v>
      </c>
      <c r="B197" t="s">
        <v>1582</v>
      </c>
      <c r="C197" t="s">
        <v>126</v>
      </c>
      <c r="D197" s="6">
        <v>4000000</v>
      </c>
      <c r="E197"/>
      <c r="F197"/>
      <c r="G197"/>
      <c r="H197" t="s">
        <v>1539</v>
      </c>
      <c r="I197" t="s">
        <v>1829</v>
      </c>
      <c r="J197" s="28">
        <v>42144</v>
      </c>
      <c r="K197" t="s">
        <v>993</v>
      </c>
      <c r="L197" t="s">
        <v>1478</v>
      </c>
      <c r="M197"/>
      <c r="N197"/>
      <c r="O197"/>
      <c r="P197"/>
      <c r="Q197" t="s">
        <v>634</v>
      </c>
      <c r="R197" t="s">
        <v>635</v>
      </c>
      <c r="S197" t="s">
        <v>703</v>
      </c>
      <c r="T197">
        <f>21/3</f>
        <v>7</v>
      </c>
      <c r="U197" s="2">
        <f>Table1[[#This Row],[Coal Power Plant Size (MW) or Share]]*0.593*9057*211.9*10^(-9)</f>
        <v>7.9665091233000005E-3</v>
      </c>
      <c r="V197" s="2">
        <f>Table1[[#This Row],[Annual Emissions (MMTCO2)]]*40</f>
        <v>0.31866036493200001</v>
      </c>
      <c r="W197"/>
      <c r="X197">
        <f>21/3</f>
        <v>7</v>
      </c>
      <c r="Y197"/>
      <c r="Z197" s="1"/>
      <c r="AA197" s="1"/>
    </row>
    <row r="198" spans="1:27" ht="27" hidden="1" customHeight="1">
      <c r="A198" t="s">
        <v>1721</v>
      </c>
      <c r="B198" t="s">
        <v>1582</v>
      </c>
      <c r="C198" t="s">
        <v>126</v>
      </c>
      <c r="D198" s="6">
        <v>7200000</v>
      </c>
      <c r="E198"/>
      <c r="F198"/>
      <c r="G198"/>
      <c r="H198" t="s">
        <v>1477</v>
      </c>
      <c r="I198" t="s">
        <v>1831</v>
      </c>
      <c r="J198" s="28">
        <v>42145</v>
      </c>
      <c r="K198" t="s">
        <v>993</v>
      </c>
      <c r="L198" t="s">
        <v>1478</v>
      </c>
      <c r="M198"/>
      <c r="N198"/>
      <c r="O198"/>
      <c r="P198"/>
      <c r="Q198" t="s">
        <v>634</v>
      </c>
      <c r="R198" t="s">
        <v>635</v>
      </c>
      <c r="S198" t="s">
        <v>703</v>
      </c>
      <c r="T198">
        <f>30/3</f>
        <v>10</v>
      </c>
      <c r="U198" s="2">
        <f>Table1[[#This Row],[Coal Power Plant Size (MW) or Share]]*0.593*9057*211.9*10^(-9)</f>
        <v>1.1380727318999998E-2</v>
      </c>
      <c r="V198" s="2">
        <f>Table1[[#This Row],[Annual Emissions (MMTCO2)]]*40</f>
        <v>0.45522909275999995</v>
      </c>
      <c r="W198"/>
      <c r="X198">
        <f>30/3</f>
        <v>10</v>
      </c>
      <c r="Y198"/>
      <c r="Z198" s="1"/>
      <c r="AA198" s="1"/>
    </row>
    <row r="199" spans="1:27" ht="27" hidden="1" customHeight="1">
      <c r="A199" t="s">
        <v>1721</v>
      </c>
      <c r="B199" t="s">
        <v>1582</v>
      </c>
      <c r="C199" t="s">
        <v>126</v>
      </c>
      <c r="D199" s="6">
        <v>8700000</v>
      </c>
      <c r="E199"/>
      <c r="F199"/>
      <c r="G199"/>
      <c r="H199" t="s">
        <v>1565</v>
      </c>
      <c r="I199" t="s">
        <v>1834</v>
      </c>
      <c r="J199" s="28">
        <v>42145</v>
      </c>
      <c r="K199" t="s">
        <v>993</v>
      </c>
      <c r="L199" t="s">
        <v>1478</v>
      </c>
      <c r="M199"/>
      <c r="N199"/>
      <c r="O199"/>
      <c r="P199"/>
      <c r="Q199" t="s">
        <v>634</v>
      </c>
      <c r="R199" t="s">
        <v>635</v>
      </c>
      <c r="S199" t="s">
        <v>703</v>
      </c>
      <c r="T199">
        <f>20/3</f>
        <v>6.666666666666667</v>
      </c>
      <c r="U199" s="2">
        <f>Table1[[#This Row],[Coal Power Plant Size (MW) or Share]]*0.593*9057*211.9*10^(-9)</f>
        <v>7.5871515459999999E-3</v>
      </c>
      <c r="V199" s="2">
        <f>Table1[[#This Row],[Annual Emissions (MMTCO2)]]*40</f>
        <v>0.30348606183999999</v>
      </c>
      <c r="W199"/>
      <c r="X199">
        <f>20/3</f>
        <v>6.666666666666667</v>
      </c>
      <c r="Y199"/>
      <c r="Z199" s="1"/>
      <c r="AA199" s="1"/>
    </row>
    <row r="200" spans="1:27" ht="27" hidden="1" customHeight="1">
      <c r="A200" t="s">
        <v>1721</v>
      </c>
      <c r="B200" t="s">
        <v>1582</v>
      </c>
      <c r="C200" t="s">
        <v>126</v>
      </c>
      <c r="D200" s="6">
        <v>5000000</v>
      </c>
      <c r="E200"/>
      <c r="F200"/>
      <c r="G200"/>
      <c r="H200" t="s">
        <v>1514</v>
      </c>
      <c r="I200" t="s">
        <v>1874</v>
      </c>
      <c r="J200" s="28">
        <v>42768</v>
      </c>
      <c r="K200" t="s">
        <v>993</v>
      </c>
      <c r="L200" t="s">
        <v>1478</v>
      </c>
      <c r="M200"/>
      <c r="N200"/>
      <c r="O200"/>
      <c r="P200"/>
      <c r="Q200" t="s">
        <v>634</v>
      </c>
      <c r="R200" t="s">
        <v>635</v>
      </c>
      <c r="S200" t="s">
        <v>703</v>
      </c>
      <c r="T200">
        <f>66.4/2</f>
        <v>33.200000000000003</v>
      </c>
      <c r="U200" s="2">
        <f>Table1[[#This Row],[Coal Power Plant Size (MW) or Share]]*0.593*9057*211.9*10^(-9)</f>
        <v>3.7784014699080007E-2</v>
      </c>
      <c r="V200" s="2">
        <f>Table1[[#This Row],[Annual Emissions (MMTCO2)]]*40</f>
        <v>1.5113605879632002</v>
      </c>
      <c r="W200"/>
      <c r="X200">
        <f>66.4/2</f>
        <v>33.200000000000003</v>
      </c>
      <c r="Y200"/>
      <c r="Z200" s="1"/>
      <c r="AA200" s="1"/>
    </row>
    <row r="201" spans="1:27" ht="27" hidden="1" customHeight="1">
      <c r="A201" t="s">
        <v>198</v>
      </c>
      <c r="B201" t="s">
        <v>28</v>
      </c>
      <c r="C201" t="s">
        <v>14</v>
      </c>
      <c r="D201" s="6">
        <v>7489013.7095569316</v>
      </c>
      <c r="E201" t="s">
        <v>47</v>
      </c>
      <c r="F201"/>
      <c r="G201"/>
      <c r="H201" t="s">
        <v>48</v>
      </c>
      <c r="I201"/>
      <c r="J201" s="28">
        <v>42064</v>
      </c>
      <c r="K201" t="s">
        <v>1482</v>
      </c>
      <c r="L201" t="s">
        <v>49</v>
      </c>
      <c r="M201"/>
      <c r="N201" t="s">
        <v>50</v>
      </c>
      <c r="O201" t="s">
        <v>51</v>
      </c>
      <c r="P201"/>
      <c r="Q201" t="s">
        <v>17</v>
      </c>
      <c r="R201" t="s">
        <v>18</v>
      </c>
      <c r="S201" t="s">
        <v>703</v>
      </c>
      <c r="T201"/>
      <c r="U201" s="2">
        <f>Table1[[#This Row],[Coal Power Plant Size (MW) or Share]]*0.593*9057*211.9*10^(-9)</f>
        <v>0</v>
      </c>
      <c r="V201" s="2">
        <f>Table1[[#This Row],[Annual Emissions (MMTCO2)]]*40</f>
        <v>0</v>
      </c>
      <c r="W201"/>
      <c r="X201"/>
      <c r="Y201"/>
      <c r="Z201" s="1"/>
      <c r="AA201" s="1"/>
    </row>
    <row r="202" spans="1:27" ht="27" hidden="1" customHeight="1">
      <c r="A202" t="s">
        <v>198</v>
      </c>
      <c r="B202" t="s">
        <v>206</v>
      </c>
      <c r="C202" t="s">
        <v>1465</v>
      </c>
      <c r="D202" s="6">
        <v>83563944.476999998</v>
      </c>
      <c r="E202" t="s">
        <v>207</v>
      </c>
      <c r="F202"/>
      <c r="G202"/>
      <c r="H202" t="s">
        <v>208</v>
      </c>
      <c r="I202" t="s">
        <v>209</v>
      </c>
      <c r="J202" s="28">
        <v>41395</v>
      </c>
      <c r="K202" t="s">
        <v>1482</v>
      </c>
      <c r="L202" t="s">
        <v>31</v>
      </c>
      <c r="M202"/>
      <c r="N202" t="s">
        <v>210</v>
      </c>
      <c r="O202"/>
      <c r="P202"/>
      <c r="Q202" t="s">
        <v>54</v>
      </c>
      <c r="R202" t="s">
        <v>58</v>
      </c>
      <c r="S202" t="s">
        <v>703</v>
      </c>
      <c r="T202">
        <v>800</v>
      </c>
      <c r="U202" s="2">
        <f>Table1[[#This Row],[Coal Power Plant Size (MW) or Share]]*0.593*9057*211.9*10^(-9)</f>
        <v>0.91045818552000002</v>
      </c>
      <c r="V202" s="2">
        <f>Table1[[#This Row],[Annual Emissions (MMTCO2)]]*40</f>
        <v>36.418327420799997</v>
      </c>
      <c r="W202"/>
      <c r="X202"/>
      <c r="Y202"/>
      <c r="Z202" s="1"/>
      <c r="AA202" s="1"/>
    </row>
    <row r="203" spans="1:27" ht="27" hidden="1" customHeight="1">
      <c r="A203" t="s">
        <v>198</v>
      </c>
      <c r="B203" t="s">
        <v>92</v>
      </c>
      <c r="C203" t="s">
        <v>14</v>
      </c>
      <c r="D203" s="6">
        <v>18425663.35256977</v>
      </c>
      <c r="E203" t="s">
        <v>102</v>
      </c>
      <c r="F203"/>
      <c r="G203"/>
      <c r="H203" t="s">
        <v>103</v>
      </c>
      <c r="I203" t="s">
        <v>84</v>
      </c>
      <c r="J203" s="28">
        <v>42278</v>
      </c>
      <c r="K203" t="s">
        <v>992</v>
      </c>
      <c r="L203" t="s">
        <v>104</v>
      </c>
      <c r="M203"/>
      <c r="N203" t="s">
        <v>105</v>
      </c>
      <c r="O203" t="s">
        <v>106</v>
      </c>
      <c r="P203"/>
      <c r="Q203" t="s">
        <v>54</v>
      </c>
      <c r="R203" t="s">
        <v>55</v>
      </c>
      <c r="S203" t="s">
        <v>703</v>
      </c>
      <c r="T203"/>
      <c r="U203" s="2">
        <f>Table1[[#This Row],[Coal Power Plant Size (MW) or Share]]*0.593*9057*211.9*10^(-9)</f>
        <v>0</v>
      </c>
      <c r="V203" s="2">
        <f>Table1[[#This Row],[Annual Emissions (MMTCO2)]]*40</f>
        <v>0</v>
      </c>
      <c r="W203"/>
      <c r="X203"/>
      <c r="Y203"/>
      <c r="Z203" s="1"/>
      <c r="AA203" s="1"/>
    </row>
    <row r="204" spans="1:27" ht="27" hidden="1" customHeight="1">
      <c r="A204" t="s">
        <v>198</v>
      </c>
      <c r="B204" t="s">
        <v>28</v>
      </c>
      <c r="C204" t="s">
        <v>14</v>
      </c>
      <c r="D204" s="6">
        <v>42125702.116257735</v>
      </c>
      <c r="E204" t="s">
        <v>30</v>
      </c>
      <c r="F204"/>
      <c r="G204"/>
      <c r="H204" t="s">
        <v>52</v>
      </c>
      <c r="I204" t="s">
        <v>53</v>
      </c>
      <c r="J204" s="28">
        <v>42359</v>
      </c>
      <c r="K204" t="s">
        <v>1482</v>
      </c>
      <c r="L204" t="s">
        <v>31</v>
      </c>
      <c r="M204"/>
      <c r="N204" t="s">
        <v>56</v>
      </c>
      <c r="O204" t="s">
        <v>57</v>
      </c>
      <c r="P204"/>
      <c r="Q204" t="s">
        <v>54</v>
      </c>
      <c r="R204" t="s">
        <v>55</v>
      </c>
      <c r="S204" t="s">
        <v>703</v>
      </c>
      <c r="T204"/>
      <c r="U204" s="2">
        <f>Table1[[#This Row],[Coal Power Plant Size (MW) or Share]]*0.593*9057*211.9*10^(-9)</f>
        <v>0</v>
      </c>
      <c r="V204" s="2">
        <f>Table1[[#This Row],[Annual Emissions (MMTCO2)]]*40</f>
        <v>0</v>
      </c>
      <c r="W204"/>
      <c r="X204"/>
      <c r="Y204"/>
      <c r="Z204" s="1"/>
      <c r="AA204" s="1"/>
    </row>
    <row r="205" spans="1:27" ht="27" hidden="1" customHeight="1">
      <c r="A205" t="s">
        <v>198</v>
      </c>
      <c r="B205" t="s">
        <v>564</v>
      </c>
      <c r="C205" t="s">
        <v>126</v>
      </c>
      <c r="D205" s="6">
        <v>38500000</v>
      </c>
      <c r="E205"/>
      <c r="F205"/>
      <c r="G205"/>
      <c r="H205" t="s">
        <v>1641</v>
      </c>
      <c r="I205" t="s">
        <v>1775</v>
      </c>
      <c r="J205" s="28">
        <v>41344</v>
      </c>
      <c r="K205" t="s">
        <v>990</v>
      </c>
      <c r="L205" t="s">
        <v>1466</v>
      </c>
      <c r="M205"/>
      <c r="N205"/>
      <c r="O205"/>
      <c r="P205"/>
      <c r="Q205" t="s">
        <v>634</v>
      </c>
      <c r="R205" t="s">
        <v>636</v>
      </c>
      <c r="S205" t="s">
        <v>703</v>
      </c>
      <c r="T205">
        <f>50/3</f>
        <v>16.666666666666668</v>
      </c>
      <c r="U205" s="2">
        <f>Table1[[#This Row],[Coal Power Plant Size (MW) or Share]]*0.593*9057*211.9*10^(-9)</f>
        <v>1.8967878864999999E-2</v>
      </c>
      <c r="V205" s="2">
        <f>Table1[[#This Row],[Annual Emissions (MMTCO2)]]*40</f>
        <v>0.75871515459999994</v>
      </c>
      <c r="W205"/>
      <c r="X205">
        <f>50/3</f>
        <v>16.666666666666668</v>
      </c>
      <c r="Y205"/>
      <c r="Z205" s="1"/>
      <c r="AA205" s="1"/>
    </row>
    <row r="206" spans="1:27" ht="27" hidden="1" customHeight="1">
      <c r="A206" t="s">
        <v>198</v>
      </c>
      <c r="B206" t="s">
        <v>564</v>
      </c>
      <c r="C206" t="s">
        <v>126</v>
      </c>
      <c r="D206" s="6">
        <v>16670000.000000002</v>
      </c>
      <c r="E206"/>
      <c r="F206"/>
      <c r="G206"/>
      <c r="H206" t="s">
        <v>1641</v>
      </c>
      <c r="I206" t="s">
        <v>1775</v>
      </c>
      <c r="J206" s="28">
        <v>41344</v>
      </c>
      <c r="K206" t="s">
        <v>990</v>
      </c>
      <c r="L206" t="s">
        <v>1466</v>
      </c>
      <c r="M206"/>
      <c r="N206"/>
      <c r="O206"/>
      <c r="P206"/>
      <c r="Q206" t="s">
        <v>634</v>
      </c>
      <c r="R206" t="s">
        <v>636</v>
      </c>
      <c r="S206" t="s">
        <v>703</v>
      </c>
      <c r="T206">
        <f>50/3</f>
        <v>16.666666666666668</v>
      </c>
      <c r="U206" s="2">
        <f>Table1[[#This Row],[Coal Power Plant Size (MW) or Share]]*0.593*9057*211.9*10^(-9)</f>
        <v>1.8967878864999999E-2</v>
      </c>
      <c r="V206" s="2">
        <f>Table1[[#This Row],[Annual Emissions (MMTCO2)]]*40</f>
        <v>0.75871515459999994</v>
      </c>
      <c r="W206"/>
      <c r="X206">
        <f>50/3</f>
        <v>16.666666666666668</v>
      </c>
      <c r="Y206"/>
      <c r="Z206" s="1"/>
      <c r="AA206" s="1"/>
    </row>
    <row r="207" spans="1:27" ht="27" hidden="1" customHeight="1">
      <c r="A207" t="s">
        <v>198</v>
      </c>
      <c r="B207" t="s">
        <v>568</v>
      </c>
      <c r="C207" t="s">
        <v>126</v>
      </c>
      <c r="D207" s="6">
        <v>136000000</v>
      </c>
      <c r="E207"/>
      <c r="F207"/>
      <c r="G207"/>
      <c r="H207" t="s">
        <v>1611</v>
      </c>
      <c r="I207" t="s">
        <v>1766</v>
      </c>
      <c r="J207" s="28">
        <v>41455</v>
      </c>
      <c r="K207" t="s">
        <v>993</v>
      </c>
      <c r="L207" t="s">
        <v>166</v>
      </c>
      <c r="M207"/>
      <c r="N207"/>
      <c r="O207"/>
      <c r="P207"/>
      <c r="Q207" t="s">
        <v>634</v>
      </c>
      <c r="R207" t="s">
        <v>1473</v>
      </c>
      <c r="S207" t="s">
        <v>703</v>
      </c>
      <c r="T207">
        <f>160/6</f>
        <v>26.666666666666668</v>
      </c>
      <c r="U207" s="2">
        <f>Table1[[#This Row],[Coal Power Plant Size (MW) or Share]]*0.593*9057*211.9*10^(-9)</f>
        <v>3.0348606183999999E-2</v>
      </c>
      <c r="V207" s="2">
        <f>Table1[[#This Row],[Annual Emissions (MMTCO2)]]*40</f>
        <v>1.21394424736</v>
      </c>
      <c r="W207"/>
      <c r="X207">
        <f>160/6</f>
        <v>26.666666666666668</v>
      </c>
      <c r="Y207"/>
      <c r="Z207" s="1"/>
      <c r="AA207" s="1"/>
    </row>
    <row r="208" spans="1:27" ht="27" hidden="1" customHeight="1">
      <c r="A208" t="s">
        <v>198</v>
      </c>
      <c r="B208" t="s">
        <v>564</v>
      </c>
      <c r="C208" t="s">
        <v>126</v>
      </c>
      <c r="D208" s="6">
        <v>25000000</v>
      </c>
      <c r="E208"/>
      <c r="F208"/>
      <c r="G208"/>
      <c r="H208" t="s">
        <v>1644</v>
      </c>
      <c r="I208" t="s">
        <v>1784</v>
      </c>
      <c r="J208" s="28">
        <v>41485</v>
      </c>
      <c r="K208" t="s">
        <v>990</v>
      </c>
      <c r="L208" t="s">
        <v>20</v>
      </c>
      <c r="M208"/>
      <c r="N208"/>
      <c r="O208"/>
      <c r="P208"/>
      <c r="Q208" t="s">
        <v>634</v>
      </c>
      <c r="R208" t="s">
        <v>635</v>
      </c>
      <c r="S208" t="s">
        <v>703</v>
      </c>
      <c r="T208">
        <v>26.1</v>
      </c>
      <c r="U208" s="2">
        <f>Table1[[#This Row],[Coal Power Plant Size (MW) or Share]]*0.593*9057*211.9*10^(-9)</f>
        <v>2.9703698302589999E-2</v>
      </c>
      <c r="V208" s="2">
        <f>Table1[[#This Row],[Annual Emissions (MMTCO2)]]*40</f>
        <v>1.1881479321035999</v>
      </c>
      <c r="W208"/>
      <c r="X208">
        <v>26.1</v>
      </c>
      <c r="Y208"/>
      <c r="Z208" s="1"/>
      <c r="AA208" s="1"/>
    </row>
    <row r="209" spans="1:27" ht="27" hidden="1" customHeight="1">
      <c r="A209" t="s">
        <v>198</v>
      </c>
      <c r="B209" t="s">
        <v>564</v>
      </c>
      <c r="C209" t="s">
        <v>126</v>
      </c>
      <c r="D209" s="6">
        <v>24000000</v>
      </c>
      <c r="E209"/>
      <c r="F209"/>
      <c r="G209"/>
      <c r="H209" t="s">
        <v>1531</v>
      </c>
      <c r="I209" t="s">
        <v>1839</v>
      </c>
      <c r="J209" s="28">
        <v>41953</v>
      </c>
      <c r="K209" t="s">
        <v>993</v>
      </c>
      <c r="L209" t="s">
        <v>1478</v>
      </c>
      <c r="M209"/>
      <c r="N209"/>
      <c r="O209"/>
      <c r="P209"/>
      <c r="Q209" t="s">
        <v>634</v>
      </c>
      <c r="R209" t="s">
        <v>635</v>
      </c>
      <c r="S209" t="s">
        <v>703</v>
      </c>
      <c r="T209">
        <v>20</v>
      </c>
      <c r="U209" s="2">
        <f>Table1[[#This Row],[Coal Power Plant Size (MW) or Share]]*0.593*9057*211.9*10^(-9)</f>
        <v>2.2761454637999997E-2</v>
      </c>
      <c r="V209" s="2">
        <f>Table1[[#This Row],[Annual Emissions (MMTCO2)]]*40</f>
        <v>0.91045818551999991</v>
      </c>
      <c r="W209"/>
      <c r="X209">
        <v>20</v>
      </c>
      <c r="Y209"/>
      <c r="Z209" s="1"/>
      <c r="AA209" s="1"/>
    </row>
    <row r="210" spans="1:27" ht="27" hidden="1" customHeight="1">
      <c r="A210" t="s">
        <v>198</v>
      </c>
      <c r="B210" t="s">
        <v>564</v>
      </c>
      <c r="C210" t="s">
        <v>126</v>
      </c>
      <c r="D210" s="6">
        <v>13000000</v>
      </c>
      <c r="E210"/>
      <c r="F210"/>
      <c r="G210"/>
      <c r="H210" t="s">
        <v>1548</v>
      </c>
      <c r="I210" t="s">
        <v>1837</v>
      </c>
      <c r="J210" s="28">
        <v>41953</v>
      </c>
      <c r="K210" t="s">
        <v>993</v>
      </c>
      <c r="L210" t="s">
        <v>1478</v>
      </c>
      <c r="M210"/>
      <c r="N210"/>
      <c r="O210"/>
      <c r="P210"/>
      <c r="Q210" t="s">
        <v>634</v>
      </c>
      <c r="R210" t="s">
        <v>635</v>
      </c>
      <c r="S210" t="s">
        <v>703</v>
      </c>
      <c r="T210">
        <v>10</v>
      </c>
      <c r="U210" s="2">
        <f>Table1[[#This Row],[Coal Power Plant Size (MW) or Share]]*0.593*9057*211.9*10^(-9)</f>
        <v>1.1380727318999998E-2</v>
      </c>
      <c r="V210" s="2">
        <f>Table1[[#This Row],[Annual Emissions (MMTCO2)]]*40</f>
        <v>0.45522909275999995</v>
      </c>
      <c r="W210"/>
      <c r="X210">
        <v>10</v>
      </c>
      <c r="Y210"/>
      <c r="Z210" s="1"/>
      <c r="AA210" s="1"/>
    </row>
    <row r="211" spans="1:27" ht="27" hidden="1" customHeight="1">
      <c r="A211" t="s">
        <v>198</v>
      </c>
      <c r="B211" t="s">
        <v>564</v>
      </c>
      <c r="C211" t="s">
        <v>126</v>
      </c>
      <c r="D211" s="6">
        <v>13000000</v>
      </c>
      <c r="E211"/>
      <c r="F211"/>
      <c r="G211"/>
      <c r="H211" t="s">
        <v>1628</v>
      </c>
      <c r="I211" t="s">
        <v>1836</v>
      </c>
      <c r="J211" s="28">
        <v>41953</v>
      </c>
      <c r="K211" t="s">
        <v>993</v>
      </c>
      <c r="L211" t="s">
        <v>1478</v>
      </c>
      <c r="M211"/>
      <c r="N211"/>
      <c r="O211"/>
      <c r="P211"/>
      <c r="Q211" t="s">
        <v>634</v>
      </c>
      <c r="R211" t="s">
        <v>635</v>
      </c>
      <c r="S211" t="s">
        <v>703</v>
      </c>
      <c r="T211">
        <v>10</v>
      </c>
      <c r="U211" s="2">
        <f>Table1[[#This Row],[Coal Power Plant Size (MW) or Share]]*0.593*9057*211.9*10^(-9)</f>
        <v>1.1380727318999998E-2</v>
      </c>
      <c r="V211" s="2">
        <f>Table1[[#This Row],[Annual Emissions (MMTCO2)]]*40</f>
        <v>0.45522909275999995</v>
      </c>
      <c r="W211"/>
      <c r="X211">
        <v>10</v>
      </c>
      <c r="Y211"/>
      <c r="Z211" s="1"/>
      <c r="AA211" s="1"/>
    </row>
    <row r="212" spans="1:27" ht="27" hidden="1" customHeight="1">
      <c r="A212" t="s">
        <v>198</v>
      </c>
      <c r="B212" t="s">
        <v>564</v>
      </c>
      <c r="C212" t="s">
        <v>126</v>
      </c>
      <c r="D212" s="6">
        <v>62050000</v>
      </c>
      <c r="E212"/>
      <c r="F212"/>
      <c r="G212"/>
      <c r="H212" t="s">
        <v>1581</v>
      </c>
      <c r="I212" t="s">
        <v>1765</v>
      </c>
      <c r="J212" s="28">
        <v>41982</v>
      </c>
      <c r="K212" t="s">
        <v>1482</v>
      </c>
      <c r="L212" t="s">
        <v>705</v>
      </c>
      <c r="M212"/>
      <c r="N212"/>
      <c r="O212"/>
      <c r="P212"/>
      <c r="Q212" t="s">
        <v>634</v>
      </c>
      <c r="R212" t="s">
        <v>636</v>
      </c>
      <c r="S212" t="s">
        <v>703</v>
      </c>
      <c r="T212">
        <f>300/5</f>
        <v>60</v>
      </c>
      <c r="U212" s="2">
        <f>Table1[[#This Row],[Coal Power Plant Size (MW) or Share]]*0.593*9057*211.9*10^(-9)</f>
        <v>6.8284363914000015E-2</v>
      </c>
      <c r="V212" s="2">
        <f>Table1[[#This Row],[Annual Emissions (MMTCO2)]]*40</f>
        <v>2.7313745565600005</v>
      </c>
      <c r="W212"/>
      <c r="X212">
        <f>300/5</f>
        <v>60</v>
      </c>
      <c r="Y212"/>
      <c r="Z212" s="1"/>
      <c r="AA212" s="1"/>
    </row>
    <row r="213" spans="1:27" ht="27" hidden="1" customHeight="1">
      <c r="A213" t="s">
        <v>198</v>
      </c>
      <c r="B213" t="s">
        <v>564</v>
      </c>
      <c r="C213" t="s">
        <v>126</v>
      </c>
      <c r="D213" s="6">
        <v>11000000</v>
      </c>
      <c r="E213"/>
      <c r="F213"/>
      <c r="G213"/>
      <c r="H213" t="s">
        <v>1610</v>
      </c>
      <c r="I213" t="s">
        <v>1869</v>
      </c>
      <c r="J213" s="28">
        <v>42002</v>
      </c>
      <c r="K213" t="s">
        <v>990</v>
      </c>
      <c r="L213" t="s">
        <v>1503</v>
      </c>
      <c r="M213"/>
      <c r="N213"/>
      <c r="O213"/>
      <c r="P213"/>
      <c r="Q213" t="s">
        <v>634</v>
      </c>
      <c r="R213" t="s">
        <v>635</v>
      </c>
      <c r="S213" t="s">
        <v>703</v>
      </c>
      <c r="T213">
        <f>25/4</f>
        <v>6.25</v>
      </c>
      <c r="U213" s="2">
        <f>Table1[[#This Row],[Coal Power Plant Size (MW) or Share]]*0.593*9057*211.9*10^(-9)</f>
        <v>7.1129545743750001E-3</v>
      </c>
      <c r="V213" s="2">
        <f>Table1[[#This Row],[Annual Emissions (MMTCO2)]]*40</f>
        <v>0.28451818297499998</v>
      </c>
      <c r="W213"/>
      <c r="X213">
        <f>25/4</f>
        <v>6.25</v>
      </c>
      <c r="Y213"/>
      <c r="Z213" s="1"/>
      <c r="AA213" s="1"/>
    </row>
    <row r="214" spans="1:27" ht="27" hidden="1" customHeight="1">
      <c r="A214" t="s">
        <v>198</v>
      </c>
      <c r="B214" t="s">
        <v>564</v>
      </c>
      <c r="C214" t="s">
        <v>126</v>
      </c>
      <c r="D214" s="6">
        <v>20000000</v>
      </c>
      <c r="E214"/>
      <c r="F214"/>
      <c r="G214"/>
      <c r="H214" t="s">
        <v>1637</v>
      </c>
      <c r="I214" t="s">
        <v>1802</v>
      </c>
      <c r="J214" s="28">
        <v>42002</v>
      </c>
      <c r="K214" t="s">
        <v>990</v>
      </c>
      <c r="L214" t="s">
        <v>1488</v>
      </c>
      <c r="M214"/>
      <c r="N214"/>
      <c r="O214"/>
      <c r="P214"/>
      <c r="Q214" t="s">
        <v>634</v>
      </c>
      <c r="R214" t="s">
        <v>636</v>
      </c>
      <c r="S214" t="s">
        <v>703</v>
      </c>
      <c r="T214">
        <f>215/4</f>
        <v>53.75</v>
      </c>
      <c r="U214" s="2">
        <f>Table1[[#This Row],[Coal Power Plant Size (MW) or Share]]*0.593*9057*211.9*10^(-9)</f>
        <v>6.1171409339624998E-2</v>
      </c>
      <c r="V214" s="2">
        <f>Table1[[#This Row],[Annual Emissions (MMTCO2)]]*40</f>
        <v>2.4468563735849997</v>
      </c>
      <c r="W214"/>
      <c r="X214">
        <f>215/4</f>
        <v>53.75</v>
      </c>
      <c r="Y214"/>
      <c r="Z214" s="1"/>
      <c r="AA214" s="1"/>
    </row>
    <row r="215" spans="1:27" ht="27" hidden="1" customHeight="1">
      <c r="A215" t="s">
        <v>198</v>
      </c>
      <c r="B215" t="s">
        <v>564</v>
      </c>
      <c r="C215" t="s">
        <v>126</v>
      </c>
      <c r="D215" s="6">
        <v>8330000</v>
      </c>
      <c r="E215"/>
      <c r="F215"/>
      <c r="G215"/>
      <c r="H215" t="s">
        <v>1596</v>
      </c>
      <c r="I215" t="s">
        <v>1855</v>
      </c>
      <c r="J215" s="28">
        <v>42050</v>
      </c>
      <c r="K215" t="s">
        <v>990</v>
      </c>
      <c r="L215" t="s">
        <v>1597</v>
      </c>
      <c r="M215"/>
      <c r="N215"/>
      <c r="O215"/>
      <c r="P215"/>
      <c r="Q215" t="s">
        <v>634</v>
      </c>
      <c r="R215" t="s">
        <v>636</v>
      </c>
      <c r="S215" t="s">
        <v>703</v>
      </c>
      <c r="T215">
        <f>32.1/3</f>
        <v>10.700000000000001</v>
      </c>
      <c r="U215" s="2">
        <f>Table1[[#This Row],[Coal Power Plant Size (MW) or Share]]*0.593*9057*211.9*10^(-9)</f>
        <v>1.2177378231330003E-2</v>
      </c>
      <c r="V215" s="2">
        <f>Table1[[#This Row],[Annual Emissions (MMTCO2)]]*40</f>
        <v>0.48709512925320009</v>
      </c>
      <c r="W215"/>
      <c r="X215">
        <f>32.1/3</f>
        <v>10.700000000000001</v>
      </c>
      <c r="Y215"/>
      <c r="Z215" s="1"/>
      <c r="AA215" s="1"/>
    </row>
    <row r="216" spans="1:27" ht="27" hidden="1" customHeight="1">
      <c r="A216" t="s">
        <v>198</v>
      </c>
      <c r="B216" t="s">
        <v>564</v>
      </c>
      <c r="C216" t="s">
        <v>126</v>
      </c>
      <c r="D216" s="6">
        <v>15000000</v>
      </c>
      <c r="E216"/>
      <c r="F216"/>
      <c r="G216"/>
      <c r="H216" t="s">
        <v>1703</v>
      </c>
      <c r="I216" t="s">
        <v>1773</v>
      </c>
      <c r="J216" s="28">
        <v>42050</v>
      </c>
      <c r="K216" t="s">
        <v>990</v>
      </c>
      <c r="L216" t="s">
        <v>1597</v>
      </c>
      <c r="M216"/>
      <c r="N216"/>
      <c r="O216"/>
      <c r="P216"/>
      <c r="Q216" t="s">
        <v>634</v>
      </c>
      <c r="R216" t="s">
        <v>636</v>
      </c>
      <c r="S216" t="s">
        <v>703</v>
      </c>
      <c r="T216">
        <f>97.15/3</f>
        <v>32.383333333333333</v>
      </c>
      <c r="U216" s="2">
        <f>Table1[[#This Row],[Coal Power Plant Size (MW) or Share]]*0.593*9057*211.9*10^(-9)</f>
        <v>3.6854588634695006E-2</v>
      </c>
      <c r="V216" s="2">
        <f>Table1[[#This Row],[Annual Emissions (MMTCO2)]]*40</f>
        <v>1.4741835453878003</v>
      </c>
      <c r="W216"/>
      <c r="X216">
        <f>97.15/3</f>
        <v>32.383333333333333</v>
      </c>
      <c r="Y216"/>
      <c r="Z216" s="1"/>
      <c r="AA216" s="1"/>
    </row>
    <row r="217" spans="1:27" ht="46.5" hidden="1" customHeight="1">
      <c r="A217" t="s">
        <v>198</v>
      </c>
      <c r="B217" t="s">
        <v>564</v>
      </c>
      <c r="C217" t="s">
        <v>126</v>
      </c>
      <c r="D217" s="6">
        <v>12130000</v>
      </c>
      <c r="E217" t="s">
        <v>577</v>
      </c>
      <c r="F217"/>
      <c r="G217"/>
      <c r="H217" t="s">
        <v>603</v>
      </c>
      <c r="I217" t="s">
        <v>671</v>
      </c>
      <c r="J217" s="28">
        <v>42090</v>
      </c>
      <c r="K217" t="s">
        <v>989</v>
      </c>
      <c r="L217" t="s">
        <v>78</v>
      </c>
      <c r="M217"/>
      <c r="N217"/>
      <c r="O217"/>
      <c r="P217"/>
      <c r="Q217" t="s">
        <v>634</v>
      </c>
      <c r="R217" t="s">
        <v>636</v>
      </c>
      <c r="S217" t="s">
        <v>646</v>
      </c>
      <c r="T217">
        <f>50/7</f>
        <v>7.1428571428571432</v>
      </c>
      <c r="U217" s="2">
        <f>Table1[[#This Row],[Coal Power Plant Size (MW) or Share]]*0.593*9057*211.9*10^(-9)</f>
        <v>8.1290909421428571E-3</v>
      </c>
      <c r="V217" s="2">
        <f>Table1[[#This Row],[Annual Emissions (MMTCO2)]]*40</f>
        <v>0.32516363768571427</v>
      </c>
      <c r="W217"/>
      <c r="X217">
        <f>50/7</f>
        <v>7.1428571428571432</v>
      </c>
      <c r="Y217"/>
      <c r="Z217" s="1"/>
      <c r="AA217" s="1"/>
    </row>
    <row r="218" spans="1:27" ht="27" hidden="1" customHeight="1">
      <c r="A218" t="s">
        <v>198</v>
      </c>
      <c r="B218" t="s">
        <v>564</v>
      </c>
      <c r="C218" t="s">
        <v>126</v>
      </c>
      <c r="D218" s="6">
        <v>3870000</v>
      </c>
      <c r="E218" t="s">
        <v>577</v>
      </c>
      <c r="F218"/>
      <c r="G218"/>
      <c r="H218" t="s">
        <v>603</v>
      </c>
      <c r="I218" t="s">
        <v>671</v>
      </c>
      <c r="J218" s="28">
        <v>42090</v>
      </c>
      <c r="K218" t="s">
        <v>989</v>
      </c>
      <c r="L218" t="s">
        <v>78</v>
      </c>
      <c r="M218"/>
      <c r="N218"/>
      <c r="O218"/>
      <c r="P218"/>
      <c r="Q218" t="s">
        <v>634</v>
      </c>
      <c r="R218" t="s">
        <v>636</v>
      </c>
      <c r="S218" t="s">
        <v>646</v>
      </c>
      <c r="T218">
        <f>50/7</f>
        <v>7.1428571428571432</v>
      </c>
      <c r="U218" s="2">
        <f>Table1[[#This Row],[Coal Power Plant Size (MW) or Share]]*0.593*9057*211.9*10^(-9)</f>
        <v>8.1290909421428571E-3</v>
      </c>
      <c r="V218" s="2">
        <f>Table1[[#This Row],[Annual Emissions (MMTCO2)]]*40</f>
        <v>0.32516363768571427</v>
      </c>
      <c r="W218"/>
      <c r="X218">
        <f>50/7</f>
        <v>7.1428571428571432</v>
      </c>
      <c r="Y218"/>
      <c r="Z218" s="1"/>
      <c r="AA218" s="1"/>
    </row>
    <row r="219" spans="1:27" ht="27" hidden="1" customHeight="1">
      <c r="A219" t="s">
        <v>198</v>
      </c>
      <c r="B219" t="s">
        <v>568</v>
      </c>
      <c r="C219" t="s">
        <v>126</v>
      </c>
      <c r="D219" s="6">
        <v>128100000</v>
      </c>
      <c r="E219"/>
      <c r="F219"/>
      <c r="G219"/>
      <c r="H219" t="s">
        <v>1617</v>
      </c>
      <c r="I219" t="s">
        <v>1800</v>
      </c>
      <c r="J219" s="28">
        <v>42145</v>
      </c>
      <c r="K219" t="s">
        <v>993</v>
      </c>
      <c r="L219" t="s">
        <v>166</v>
      </c>
      <c r="M219"/>
      <c r="N219"/>
      <c r="O219"/>
      <c r="P219"/>
      <c r="Q219" t="s">
        <v>634</v>
      </c>
      <c r="R219" t="s">
        <v>1474</v>
      </c>
      <c r="S219" t="s">
        <v>703</v>
      </c>
      <c r="T219">
        <f>200/6</f>
        <v>33.333333333333336</v>
      </c>
      <c r="U219" s="2">
        <f>Table1[[#This Row],[Coal Power Plant Size (MW) or Share]]*0.593*9057*211.9*10^(-9)</f>
        <v>3.7935757729999998E-2</v>
      </c>
      <c r="V219" s="2">
        <f>Table1[[#This Row],[Annual Emissions (MMTCO2)]]*40</f>
        <v>1.5174303091999999</v>
      </c>
      <c r="W219"/>
      <c r="X219">
        <f>200/6</f>
        <v>33.333333333333336</v>
      </c>
      <c r="Y219"/>
      <c r="Z219" s="1"/>
      <c r="AA219" s="1"/>
    </row>
    <row r="220" spans="1:27" ht="27" hidden="1" customHeight="1">
      <c r="A220" t="s">
        <v>198</v>
      </c>
      <c r="B220" t="s">
        <v>568</v>
      </c>
      <c r="C220" t="s">
        <v>126</v>
      </c>
      <c r="D220" s="6">
        <v>88100000</v>
      </c>
      <c r="E220"/>
      <c r="F220"/>
      <c r="G220"/>
      <c r="H220" t="s">
        <v>1618</v>
      </c>
      <c r="I220" t="s">
        <v>1801</v>
      </c>
      <c r="J220" s="28">
        <v>42145</v>
      </c>
      <c r="K220" t="s">
        <v>993</v>
      </c>
      <c r="L220" t="s">
        <v>166</v>
      </c>
      <c r="M220"/>
      <c r="N220"/>
      <c r="O220"/>
      <c r="P220"/>
      <c r="Q220" t="s">
        <v>634</v>
      </c>
      <c r="R220" t="s">
        <v>1474</v>
      </c>
      <c r="S220" t="s">
        <v>703</v>
      </c>
      <c r="T220">
        <f>150/6</f>
        <v>25</v>
      </c>
      <c r="U220" s="2">
        <f>Table1[[#This Row],[Coal Power Plant Size (MW) or Share]]*0.593*9057*211.9*10^(-9)</f>
        <v>2.8451818297500001E-2</v>
      </c>
      <c r="V220" s="2">
        <f>Table1[[#This Row],[Annual Emissions (MMTCO2)]]*40</f>
        <v>1.1380727318999999</v>
      </c>
      <c r="W220"/>
      <c r="X220">
        <f>150/6</f>
        <v>25</v>
      </c>
      <c r="Y220"/>
      <c r="Z220" s="1"/>
      <c r="AA220" s="1"/>
    </row>
    <row r="221" spans="1:27" ht="27" hidden="1" customHeight="1">
      <c r="A221" t="s">
        <v>198</v>
      </c>
      <c r="B221" t="s">
        <v>564</v>
      </c>
      <c r="C221" t="s">
        <v>126</v>
      </c>
      <c r="D221" s="6">
        <v>50000000</v>
      </c>
      <c r="E221"/>
      <c r="F221"/>
      <c r="G221"/>
      <c r="H221" t="s">
        <v>1495</v>
      </c>
      <c r="I221" t="s">
        <v>1903</v>
      </c>
      <c r="J221" s="28">
        <v>42307</v>
      </c>
      <c r="K221" t="s">
        <v>990</v>
      </c>
      <c r="L221" t="s">
        <v>1471</v>
      </c>
      <c r="M221"/>
      <c r="N221"/>
      <c r="O221"/>
      <c r="P221"/>
      <c r="Q221" t="s">
        <v>634</v>
      </c>
      <c r="R221" t="s">
        <v>636</v>
      </c>
      <c r="S221" t="s">
        <v>703</v>
      </c>
      <c r="T221">
        <f>80/2</f>
        <v>40</v>
      </c>
      <c r="U221" s="2">
        <f>Table1[[#This Row],[Coal Power Plant Size (MW) or Share]]*0.593*9057*211.9*10^(-9)</f>
        <v>4.5522909275999994E-2</v>
      </c>
      <c r="V221" s="2">
        <f>Table1[[#This Row],[Annual Emissions (MMTCO2)]]*40</f>
        <v>1.8209163710399998</v>
      </c>
      <c r="W221"/>
      <c r="X221">
        <f>80/2</f>
        <v>40</v>
      </c>
      <c r="Y221"/>
      <c r="Z221" s="1"/>
      <c r="AA221" s="1"/>
    </row>
    <row r="222" spans="1:27" ht="27" hidden="1" customHeight="1">
      <c r="A222" t="s">
        <v>198</v>
      </c>
      <c r="B222" t="s">
        <v>564</v>
      </c>
      <c r="C222" t="s">
        <v>126</v>
      </c>
      <c r="D222" s="6">
        <v>19600000</v>
      </c>
      <c r="E222"/>
      <c r="F222"/>
      <c r="G222"/>
      <c r="H222" t="s">
        <v>1583</v>
      </c>
      <c r="I222" t="s">
        <v>1895</v>
      </c>
      <c r="J222" s="28">
        <v>42545</v>
      </c>
      <c r="K222" t="s">
        <v>990</v>
      </c>
      <c r="L222" t="s">
        <v>20</v>
      </c>
      <c r="M222"/>
      <c r="N222"/>
      <c r="O222"/>
      <c r="P222"/>
      <c r="Q222" t="s">
        <v>634</v>
      </c>
      <c r="R222" t="s">
        <v>635</v>
      </c>
      <c r="S222" t="s">
        <v>703</v>
      </c>
      <c r="T222">
        <f>54/2</f>
        <v>27</v>
      </c>
      <c r="U222" s="2">
        <f>Table1[[#This Row],[Coal Power Plant Size (MW) or Share]]*0.593*9057*211.9*10^(-9)</f>
        <v>3.0727963761299999E-2</v>
      </c>
      <c r="V222" s="2">
        <f>Table1[[#This Row],[Annual Emissions (MMTCO2)]]*40</f>
        <v>1.2291185504519999</v>
      </c>
      <c r="W222"/>
      <c r="X222">
        <f>54/2</f>
        <v>27</v>
      </c>
      <c r="Y222"/>
      <c r="Z222" s="1"/>
      <c r="AA222" s="1"/>
    </row>
    <row r="223" spans="1:27" ht="27" hidden="1" customHeight="1">
      <c r="A223" t="s">
        <v>198</v>
      </c>
      <c r="B223" t="s">
        <v>564</v>
      </c>
      <c r="C223" t="s">
        <v>126</v>
      </c>
      <c r="D223" s="6">
        <v>50000000</v>
      </c>
      <c r="E223"/>
      <c r="F223"/>
      <c r="G223"/>
      <c r="H223" t="s">
        <v>1492</v>
      </c>
      <c r="I223" t="s">
        <v>1914</v>
      </c>
      <c r="J223" s="28">
        <v>42681</v>
      </c>
      <c r="K223" t="s">
        <v>993</v>
      </c>
      <c r="L223" t="s">
        <v>1478</v>
      </c>
      <c r="M223"/>
      <c r="N223"/>
      <c r="O223"/>
      <c r="P223"/>
      <c r="Q223" t="s">
        <v>634</v>
      </c>
      <c r="R223" t="s">
        <v>636</v>
      </c>
      <c r="S223" t="s">
        <v>703</v>
      </c>
      <c r="T223">
        <v>82</v>
      </c>
      <c r="U223" s="2">
        <f>Table1[[#This Row],[Coal Power Plant Size (MW) or Share]]*0.593*9057*211.9*10^(-9)</f>
        <v>9.3321964015800007E-2</v>
      </c>
      <c r="V223" s="2">
        <f>Table1[[#This Row],[Annual Emissions (MMTCO2)]]*40</f>
        <v>3.7328785606320003</v>
      </c>
      <c r="W223"/>
      <c r="X223">
        <v>82</v>
      </c>
      <c r="Y223"/>
      <c r="Z223" s="1"/>
      <c r="AA223" s="1"/>
    </row>
    <row r="224" spans="1:27" ht="27" hidden="1" customHeight="1">
      <c r="A224" t="s">
        <v>198</v>
      </c>
      <c r="B224" t="s">
        <v>564</v>
      </c>
      <c r="C224" t="s">
        <v>126</v>
      </c>
      <c r="D224" s="6">
        <v>30000000</v>
      </c>
      <c r="E224"/>
      <c r="F224"/>
      <c r="G224"/>
      <c r="H224" t="s">
        <v>1647</v>
      </c>
      <c r="I224" t="s">
        <v>1901</v>
      </c>
      <c r="J224" s="28">
        <v>42695</v>
      </c>
      <c r="K224" t="s">
        <v>990</v>
      </c>
      <c r="L224" t="s">
        <v>1648</v>
      </c>
      <c r="M224"/>
      <c r="N224"/>
      <c r="O224"/>
      <c r="P224"/>
      <c r="Q224" t="s">
        <v>634</v>
      </c>
      <c r="R224" t="s">
        <v>635</v>
      </c>
      <c r="S224" t="s">
        <v>703</v>
      </c>
      <c r="T224">
        <f>100/2</f>
        <v>50</v>
      </c>
      <c r="U224" s="2">
        <f>Table1[[#This Row],[Coal Power Plant Size (MW) or Share]]*0.593*9057*211.9*10^(-9)</f>
        <v>5.6903636595000001E-2</v>
      </c>
      <c r="V224" s="2">
        <f>Table1[[#This Row],[Annual Emissions (MMTCO2)]]*40</f>
        <v>2.2761454637999998</v>
      </c>
      <c r="W224"/>
      <c r="X224">
        <f>100/2</f>
        <v>50</v>
      </c>
      <c r="Y224"/>
      <c r="Z224" s="1"/>
      <c r="AA224" s="1"/>
    </row>
    <row r="225" spans="1:27" ht="27" hidden="1" customHeight="1">
      <c r="A225" t="s">
        <v>198</v>
      </c>
      <c r="B225" t="s">
        <v>564</v>
      </c>
      <c r="C225" t="s">
        <v>126</v>
      </c>
      <c r="D225" s="6">
        <v>18560000</v>
      </c>
      <c r="E225"/>
      <c r="F225"/>
      <c r="G225"/>
      <c r="H225" t="s">
        <v>1696</v>
      </c>
      <c r="I225" t="s">
        <v>1949</v>
      </c>
      <c r="J225" s="28">
        <v>42710</v>
      </c>
      <c r="K225" t="s">
        <v>1482</v>
      </c>
      <c r="L225" t="s">
        <v>33</v>
      </c>
      <c r="M225"/>
      <c r="N225"/>
      <c r="O225"/>
      <c r="P225"/>
      <c r="Q225" t="s">
        <v>634</v>
      </c>
      <c r="R225" t="s">
        <v>635</v>
      </c>
      <c r="S225" t="s">
        <v>703</v>
      </c>
      <c r="T225">
        <f>30/2</f>
        <v>15</v>
      </c>
      <c r="U225" s="2">
        <f>Table1[[#This Row],[Coal Power Plant Size (MW) or Share]]*0.593*9057*211.9*10^(-9)</f>
        <v>1.7071090978500004E-2</v>
      </c>
      <c r="V225" s="2">
        <f>Table1[[#This Row],[Annual Emissions (MMTCO2)]]*40</f>
        <v>0.68284363914000012</v>
      </c>
      <c r="W225"/>
      <c r="X225">
        <f>30/2</f>
        <v>15</v>
      </c>
      <c r="Y225"/>
      <c r="Z225" s="1"/>
      <c r="AA225" s="1"/>
    </row>
    <row r="226" spans="1:27" ht="27" hidden="1" customHeight="1">
      <c r="A226" t="s">
        <v>198</v>
      </c>
      <c r="B226" t="s">
        <v>564</v>
      </c>
      <c r="C226" t="s">
        <v>126</v>
      </c>
      <c r="D226" s="6">
        <v>35500000</v>
      </c>
      <c r="E226"/>
      <c r="F226"/>
      <c r="G226"/>
      <c r="H226" t="s">
        <v>1533</v>
      </c>
      <c r="I226" t="s">
        <v>1930</v>
      </c>
      <c r="J226" s="28">
        <v>42794</v>
      </c>
      <c r="K226" t="s">
        <v>993</v>
      </c>
      <c r="L226" t="s">
        <v>1478</v>
      </c>
      <c r="M226"/>
      <c r="N226"/>
      <c r="O226"/>
      <c r="P226"/>
      <c r="Q226" t="s">
        <v>634</v>
      </c>
      <c r="R226" t="s">
        <v>635</v>
      </c>
      <c r="S226" t="s">
        <v>703</v>
      </c>
      <c r="T226">
        <v>67</v>
      </c>
      <c r="U226" s="2">
        <f>Table1[[#This Row],[Coal Power Plant Size (MW) or Share]]*0.593*9057*211.9*10^(-9)</f>
        <v>7.6250873037299993E-2</v>
      </c>
      <c r="V226" s="2">
        <f>Table1[[#This Row],[Annual Emissions (MMTCO2)]]*40</f>
        <v>3.0500349214919997</v>
      </c>
      <c r="W226"/>
      <c r="X226">
        <v>67</v>
      </c>
      <c r="Y226"/>
      <c r="Z226" s="1"/>
      <c r="AA226" s="1"/>
    </row>
    <row r="227" spans="1:27" ht="27" hidden="1" customHeight="1">
      <c r="A227" t="s">
        <v>198</v>
      </c>
      <c r="B227" t="s">
        <v>564</v>
      </c>
      <c r="C227" t="s">
        <v>126</v>
      </c>
      <c r="D227" s="6">
        <v>40000000</v>
      </c>
      <c r="E227"/>
      <c r="F227"/>
      <c r="G227"/>
      <c r="H227" t="s">
        <v>1636</v>
      </c>
      <c r="I227" t="s">
        <v>1934</v>
      </c>
      <c r="J227" s="28">
        <v>54789</v>
      </c>
      <c r="K227" t="s">
        <v>1482</v>
      </c>
      <c r="L227" t="s">
        <v>49</v>
      </c>
      <c r="M227"/>
      <c r="N227"/>
      <c r="O227"/>
      <c r="P227"/>
      <c r="Q227" t="s">
        <v>634</v>
      </c>
      <c r="R227" t="s">
        <v>635</v>
      </c>
      <c r="S227" t="s">
        <v>476</v>
      </c>
      <c r="T227">
        <f>75/2</f>
        <v>37.5</v>
      </c>
      <c r="U227" s="2">
        <f>Table1[[#This Row],[Coal Power Plant Size (MW) or Share]]*0.593*9057*211.9*10^(-9)</f>
        <v>4.2677727446250001E-2</v>
      </c>
      <c r="V227" s="2">
        <f>Table1[[#This Row],[Annual Emissions (MMTCO2)]]*40</f>
        <v>1.7071090978500001</v>
      </c>
      <c r="W227"/>
      <c r="X227">
        <f>75/2</f>
        <v>37.5</v>
      </c>
      <c r="Y227"/>
      <c r="Z227" s="1"/>
      <c r="AA227" s="1"/>
    </row>
    <row r="228" spans="1:27" ht="27" hidden="1" customHeight="1">
      <c r="A228" t="s">
        <v>198</v>
      </c>
      <c r="B228" t="s">
        <v>564</v>
      </c>
      <c r="C228" t="s">
        <v>126</v>
      </c>
      <c r="D228" s="6">
        <v>29200000</v>
      </c>
      <c r="E228"/>
      <c r="F228"/>
      <c r="G228"/>
      <c r="H228" t="s">
        <v>1649</v>
      </c>
      <c r="I228" t="s">
        <v>1866</v>
      </c>
      <c r="J228" s="28">
        <v>54789</v>
      </c>
      <c r="K228" t="s">
        <v>1482</v>
      </c>
      <c r="L228" t="s">
        <v>31</v>
      </c>
      <c r="M228"/>
      <c r="N228"/>
      <c r="O228"/>
      <c r="P228"/>
      <c r="Q228" t="s">
        <v>634</v>
      </c>
      <c r="R228" t="s">
        <v>1474</v>
      </c>
      <c r="S228" t="s">
        <v>476</v>
      </c>
      <c r="T228">
        <v>100</v>
      </c>
      <c r="U228" s="2">
        <f>Table1[[#This Row],[Coal Power Plant Size (MW) or Share]]*0.593*9057*211.9*10^(-9)</f>
        <v>0.11380727319</v>
      </c>
      <c r="V228" s="2">
        <f>Table1[[#This Row],[Annual Emissions (MMTCO2)]]*40</f>
        <v>4.5522909275999996</v>
      </c>
      <c r="W228"/>
      <c r="X228">
        <v>100</v>
      </c>
      <c r="Y228"/>
      <c r="Z228" s="1"/>
      <c r="AA228" s="1"/>
    </row>
    <row r="229" spans="1:27" ht="27" hidden="1" customHeight="1">
      <c r="A229" t="s">
        <v>198</v>
      </c>
      <c r="B229" t="s">
        <v>568</v>
      </c>
      <c r="C229" t="s">
        <v>126</v>
      </c>
      <c r="D229" s="6">
        <v>67580000</v>
      </c>
      <c r="E229"/>
      <c r="F229"/>
      <c r="G229"/>
      <c r="H229" t="s">
        <v>615</v>
      </c>
      <c r="I229" t="s">
        <v>684</v>
      </c>
      <c r="J229" s="28">
        <v>54789</v>
      </c>
      <c r="K229" t="s">
        <v>989</v>
      </c>
      <c r="L229" t="s">
        <v>78</v>
      </c>
      <c r="M229"/>
      <c r="N229"/>
      <c r="O229"/>
      <c r="P229"/>
      <c r="Q229" t="s">
        <v>634</v>
      </c>
      <c r="R229" t="s">
        <v>640</v>
      </c>
      <c r="S229" t="s">
        <v>476</v>
      </c>
      <c r="T229">
        <f>18/2</f>
        <v>9</v>
      </c>
      <c r="U229" s="2">
        <f>Table1[[#This Row],[Coal Power Plant Size (MW) or Share]]*0.593*9057*211.9*10^(-9)</f>
        <v>1.0242654587099999E-2</v>
      </c>
      <c r="V229" s="2">
        <f>Table1[[#This Row],[Annual Emissions (MMTCO2)]]*40</f>
        <v>0.40970618348399995</v>
      </c>
      <c r="W229"/>
      <c r="X229">
        <f>18/2</f>
        <v>9</v>
      </c>
      <c r="Y229"/>
      <c r="Z229" s="1"/>
      <c r="AA229" s="1"/>
    </row>
    <row r="230" spans="1:27" ht="27" hidden="1" customHeight="1">
      <c r="A230" t="s">
        <v>198</v>
      </c>
      <c r="B230" t="s">
        <v>568</v>
      </c>
      <c r="C230" t="s">
        <v>126</v>
      </c>
      <c r="D230" s="6">
        <v>36780000</v>
      </c>
      <c r="E230"/>
      <c r="F230"/>
      <c r="G230"/>
      <c r="H230" t="s">
        <v>1570</v>
      </c>
      <c r="I230" t="s">
        <v>1936</v>
      </c>
      <c r="J230" s="28">
        <v>54789</v>
      </c>
      <c r="K230" t="s">
        <v>1482</v>
      </c>
      <c r="L230" t="s">
        <v>705</v>
      </c>
      <c r="M230"/>
      <c r="N230"/>
      <c r="O230"/>
      <c r="P230"/>
      <c r="Q230" t="s">
        <v>634</v>
      </c>
      <c r="R230" t="s">
        <v>637</v>
      </c>
      <c r="S230" t="s">
        <v>1486</v>
      </c>
      <c r="T230">
        <v>10.199999999999999</v>
      </c>
      <c r="U230" s="2">
        <f>Table1[[#This Row],[Coal Power Plant Size (MW) or Share]]*0.593*9057*211.9*10^(-9)</f>
        <v>1.160834186538E-2</v>
      </c>
      <c r="V230" s="2">
        <f>Table1[[#This Row],[Annual Emissions (MMTCO2)]]*40</f>
        <v>0.46433367461519998</v>
      </c>
      <c r="W230"/>
      <c r="X230">
        <v>10.199999999999999</v>
      </c>
      <c r="Y230"/>
      <c r="Z230" s="1"/>
      <c r="AA230" s="1"/>
    </row>
    <row r="231" spans="1:27" ht="27" hidden="1" customHeight="1">
      <c r="A231" t="s">
        <v>198</v>
      </c>
      <c r="B231" t="s">
        <v>568</v>
      </c>
      <c r="C231" t="s">
        <v>126</v>
      </c>
      <c r="D231" s="6">
        <v>130000000</v>
      </c>
      <c r="E231"/>
      <c r="F231"/>
      <c r="G231"/>
      <c r="H231" t="s">
        <v>1573</v>
      </c>
      <c r="I231" t="s">
        <v>1793</v>
      </c>
      <c r="J231" s="28">
        <v>54789</v>
      </c>
      <c r="K231" t="s">
        <v>1482</v>
      </c>
      <c r="L231" t="s">
        <v>31</v>
      </c>
      <c r="M231"/>
      <c r="N231"/>
      <c r="O231"/>
      <c r="P231"/>
      <c r="Q231" t="s">
        <v>634</v>
      </c>
      <c r="R231" t="s">
        <v>1474</v>
      </c>
      <c r="S231" t="s">
        <v>476</v>
      </c>
      <c r="T231">
        <f>100/6</f>
        <v>16.666666666666668</v>
      </c>
      <c r="U231" s="2">
        <f>Table1[[#This Row],[Coal Power Plant Size (MW) or Share]]*0.593*9057*211.9*10^(-9)</f>
        <v>1.8967878864999999E-2</v>
      </c>
      <c r="V231" s="2">
        <f>Table1[[#This Row],[Annual Emissions (MMTCO2)]]*40</f>
        <v>0.75871515459999994</v>
      </c>
      <c r="W231"/>
      <c r="X231">
        <f>100/6</f>
        <v>16.666666666666668</v>
      </c>
      <c r="Y231"/>
      <c r="Z231" s="1"/>
      <c r="AA231" s="1"/>
    </row>
    <row r="232" spans="1:27" ht="27" hidden="1" customHeight="1">
      <c r="A232" t="s">
        <v>198</v>
      </c>
      <c r="B232" t="s">
        <v>568</v>
      </c>
      <c r="C232" t="s">
        <v>126</v>
      </c>
      <c r="D232" s="6">
        <v>0</v>
      </c>
      <c r="E232"/>
      <c r="F232"/>
      <c r="G232"/>
      <c r="H232" t="s">
        <v>1604</v>
      </c>
      <c r="I232" t="s">
        <v>1898</v>
      </c>
      <c r="J232" s="28">
        <v>54789</v>
      </c>
      <c r="K232" t="s">
        <v>1482</v>
      </c>
      <c r="L232" t="s">
        <v>705</v>
      </c>
      <c r="M232"/>
      <c r="N232"/>
      <c r="O232"/>
      <c r="P232"/>
      <c r="Q232" t="s">
        <v>634</v>
      </c>
      <c r="R232" t="s">
        <v>636</v>
      </c>
      <c r="S232" t="s">
        <v>476</v>
      </c>
      <c r="T232">
        <f>100/2</f>
        <v>50</v>
      </c>
      <c r="U232" s="2">
        <f>Table1[[#This Row],[Coal Power Plant Size (MW) or Share]]*0.593*9057*211.9*10^(-9)</f>
        <v>5.6903636595000001E-2</v>
      </c>
      <c r="V232" s="2">
        <f>Table1[[#This Row],[Annual Emissions (MMTCO2)]]*40</f>
        <v>2.2761454637999998</v>
      </c>
      <c r="W232"/>
      <c r="X232">
        <f>100/2</f>
        <v>50</v>
      </c>
      <c r="Y232"/>
      <c r="Z232" s="1"/>
      <c r="AA232" s="1"/>
    </row>
    <row r="233" spans="1:27" ht="27" hidden="1" customHeight="1">
      <c r="A233" t="s">
        <v>198</v>
      </c>
      <c r="B233" t="s">
        <v>568</v>
      </c>
      <c r="C233" t="s">
        <v>126</v>
      </c>
      <c r="D233" s="6">
        <v>65500000</v>
      </c>
      <c r="E233"/>
      <c r="F233"/>
      <c r="G233"/>
      <c r="H233" t="s">
        <v>1627</v>
      </c>
      <c r="I233" t="s">
        <v>1910</v>
      </c>
      <c r="J233" s="28">
        <v>54789</v>
      </c>
      <c r="K233" t="s">
        <v>990</v>
      </c>
      <c r="L233" t="s">
        <v>1580</v>
      </c>
      <c r="M233"/>
      <c r="N233"/>
      <c r="O233"/>
      <c r="P233"/>
      <c r="Q233" t="s">
        <v>634</v>
      </c>
      <c r="R233" t="s">
        <v>635</v>
      </c>
      <c r="S233" t="s">
        <v>476</v>
      </c>
      <c r="T233">
        <v>50</v>
      </c>
      <c r="U233" s="2">
        <f>Table1[[#This Row],[Coal Power Plant Size (MW) or Share]]*0.593*9057*211.9*10^(-9)</f>
        <v>5.6903636595000001E-2</v>
      </c>
      <c r="V233" s="2">
        <f>Table1[[#This Row],[Annual Emissions (MMTCO2)]]*40</f>
        <v>2.2761454637999998</v>
      </c>
      <c r="W233"/>
      <c r="X233">
        <v>50</v>
      </c>
      <c r="Y233"/>
      <c r="Z233" s="1"/>
      <c r="AA233" s="1"/>
    </row>
    <row r="234" spans="1:27" ht="27" hidden="1" customHeight="1">
      <c r="A234" t="s">
        <v>198</v>
      </c>
      <c r="B234" t="s">
        <v>568</v>
      </c>
      <c r="C234" t="s">
        <v>126</v>
      </c>
      <c r="D234" s="6">
        <v>24300000</v>
      </c>
      <c r="E234"/>
      <c r="F234"/>
      <c r="G234"/>
      <c r="H234" t="s">
        <v>1629</v>
      </c>
      <c r="I234" t="s">
        <v>1847</v>
      </c>
      <c r="J234" s="28">
        <v>54789</v>
      </c>
      <c r="K234" t="s">
        <v>1482</v>
      </c>
      <c r="L234" t="s">
        <v>1630</v>
      </c>
      <c r="M234"/>
      <c r="N234"/>
      <c r="O234"/>
      <c r="P234"/>
      <c r="Q234" t="s">
        <v>634</v>
      </c>
      <c r="R234" t="s">
        <v>635</v>
      </c>
      <c r="S234" t="s">
        <v>476</v>
      </c>
      <c r="T234">
        <f>30/2</f>
        <v>15</v>
      </c>
      <c r="U234" s="2">
        <f>Table1[[#This Row],[Coal Power Plant Size (MW) or Share]]*0.593*9057*211.9*10^(-9)</f>
        <v>1.7071090978500004E-2</v>
      </c>
      <c r="V234" s="2">
        <f>Table1[[#This Row],[Annual Emissions (MMTCO2)]]*40</f>
        <v>0.68284363914000012</v>
      </c>
      <c r="W234"/>
      <c r="X234">
        <f>30/2</f>
        <v>15</v>
      </c>
      <c r="Y234"/>
      <c r="Z234" s="1"/>
      <c r="AA234" s="1"/>
    </row>
    <row r="235" spans="1:27" ht="27" hidden="1" customHeight="1">
      <c r="A235" t="s">
        <v>198</v>
      </c>
      <c r="B235" t="s">
        <v>568</v>
      </c>
      <c r="C235" t="s">
        <v>126</v>
      </c>
      <c r="D235" s="6">
        <v>45290000</v>
      </c>
      <c r="E235"/>
      <c r="F235"/>
      <c r="G235"/>
      <c r="H235" t="s">
        <v>1667</v>
      </c>
      <c r="I235" t="s">
        <v>1916</v>
      </c>
      <c r="J235" s="28">
        <v>54789</v>
      </c>
      <c r="K235" t="s">
        <v>993</v>
      </c>
      <c r="L235" t="s">
        <v>213</v>
      </c>
      <c r="M235"/>
      <c r="N235"/>
      <c r="O235"/>
      <c r="P235"/>
      <c r="Q235" t="s">
        <v>634</v>
      </c>
      <c r="R235" t="s">
        <v>635</v>
      </c>
      <c r="S235" t="s">
        <v>476</v>
      </c>
      <c r="T235">
        <v>40</v>
      </c>
      <c r="U235" s="2">
        <f>Table1[[#This Row],[Coal Power Plant Size (MW) or Share]]*0.593*9057*211.9*10^(-9)</f>
        <v>4.5522909275999994E-2</v>
      </c>
      <c r="V235" s="2">
        <f>Table1[[#This Row],[Annual Emissions (MMTCO2)]]*40</f>
        <v>1.8209163710399998</v>
      </c>
      <c r="W235"/>
      <c r="X235">
        <v>40</v>
      </c>
      <c r="Y235"/>
      <c r="Z235" s="1"/>
      <c r="AA235" s="1"/>
    </row>
    <row r="236" spans="1:27" ht="27" hidden="1" customHeight="1">
      <c r="A236" t="s">
        <v>200</v>
      </c>
      <c r="B236" t="s">
        <v>211</v>
      </c>
      <c r="C236" t="s">
        <v>1465</v>
      </c>
      <c r="D236" s="6">
        <v>705914063.51189995</v>
      </c>
      <c r="E236" t="s">
        <v>256</v>
      </c>
      <c r="F236"/>
      <c r="G236"/>
      <c r="H236" t="s">
        <v>257</v>
      </c>
      <c r="I236" t="s">
        <v>249</v>
      </c>
      <c r="J236" s="28">
        <v>41548</v>
      </c>
      <c r="K236" t="s">
        <v>1451</v>
      </c>
      <c r="L236" t="s">
        <v>110</v>
      </c>
      <c r="M236"/>
      <c r="N236"/>
      <c r="O236"/>
      <c r="P236"/>
      <c r="Q236" t="s">
        <v>37</v>
      </c>
      <c r="R236" t="s">
        <v>37</v>
      </c>
      <c r="S236" t="s">
        <v>703</v>
      </c>
      <c r="T236"/>
      <c r="U236" s="2">
        <f>Table1[[#This Row],[Coal Power Plant Size (MW) or Share]]*0.593*9057*211.9*10^(-9)</f>
        <v>0</v>
      </c>
      <c r="V236" s="2">
        <f>Table1[[#This Row],[Annual Emissions (MMTCO2)]]*40</f>
        <v>0</v>
      </c>
      <c r="W236"/>
      <c r="X236"/>
      <c r="Y236"/>
      <c r="Z236" s="1"/>
      <c r="AA236" s="1"/>
    </row>
    <row r="237" spans="1:27" ht="27" hidden="1" customHeight="1">
      <c r="A237" t="s">
        <v>200</v>
      </c>
      <c r="B237" t="s">
        <v>211</v>
      </c>
      <c r="C237" t="s">
        <v>1465</v>
      </c>
      <c r="D237" s="6">
        <f>4000000/0.784</f>
        <v>5102040.8163265307</v>
      </c>
      <c r="E237" t="s">
        <v>100</v>
      </c>
      <c r="F237"/>
      <c r="G237"/>
      <c r="H237" t="s">
        <v>269</v>
      </c>
      <c r="I237"/>
      <c r="J237" s="28">
        <v>41640</v>
      </c>
      <c r="K237" t="s">
        <v>1452</v>
      </c>
      <c r="L237" t="s">
        <v>270</v>
      </c>
      <c r="M237"/>
      <c r="N237" t="s">
        <v>271</v>
      </c>
      <c r="O237"/>
      <c r="P237"/>
      <c r="Q237" t="s">
        <v>37</v>
      </c>
      <c r="R237" t="s">
        <v>37</v>
      </c>
      <c r="S237" t="s">
        <v>703</v>
      </c>
      <c r="T237"/>
      <c r="U237" s="2">
        <f>Table1[[#This Row],[Coal Power Plant Size (MW) or Share]]*0.593*9057*211.9*10^(-9)</f>
        <v>0</v>
      </c>
      <c r="V237" s="2">
        <f>Table1[[#This Row],[Annual Emissions (MMTCO2)]]*40</f>
        <v>0</v>
      </c>
      <c r="W237"/>
      <c r="X237"/>
      <c r="Y237"/>
      <c r="Z237" s="1"/>
      <c r="AA237" s="1"/>
    </row>
    <row r="238" spans="1:27" ht="27" hidden="1" customHeight="1">
      <c r="A238" t="s">
        <v>200</v>
      </c>
      <c r="B238" t="s">
        <v>211</v>
      </c>
      <c r="C238" t="s">
        <v>1465</v>
      </c>
      <c r="D238" s="6">
        <f>2000000/0.784</f>
        <v>2551020.4081632653</v>
      </c>
      <c r="E238" t="s">
        <v>100</v>
      </c>
      <c r="F238"/>
      <c r="G238"/>
      <c r="H238" t="s">
        <v>272</v>
      </c>
      <c r="I238"/>
      <c r="J238" s="28">
        <v>41640</v>
      </c>
      <c r="K238" t="s">
        <v>1451</v>
      </c>
      <c r="L238" t="s">
        <v>110</v>
      </c>
      <c r="M238"/>
      <c r="N238" t="s">
        <v>244</v>
      </c>
      <c r="O238"/>
      <c r="P238"/>
      <c r="Q238" t="s">
        <v>37</v>
      </c>
      <c r="R238" t="s">
        <v>37</v>
      </c>
      <c r="S238" t="s">
        <v>703</v>
      </c>
      <c r="T238"/>
      <c r="U238" s="2">
        <f>Table1[[#This Row],[Coal Power Plant Size (MW) or Share]]*0.593*9057*211.9*10^(-9)</f>
        <v>0</v>
      </c>
      <c r="V238" s="2">
        <f>Table1[[#This Row],[Annual Emissions (MMTCO2)]]*40</f>
        <v>0</v>
      </c>
      <c r="W238"/>
      <c r="X238"/>
      <c r="Y238"/>
      <c r="Z238" s="1"/>
      <c r="AA238" s="1"/>
    </row>
    <row r="239" spans="1:27" ht="27" hidden="1" customHeight="1">
      <c r="A239" t="s">
        <v>200</v>
      </c>
      <c r="B239" t="s">
        <v>211</v>
      </c>
      <c r="C239" t="s">
        <v>1465</v>
      </c>
      <c r="D239" s="6">
        <f>32000000/0.784</f>
        <v>40816326.530612245</v>
      </c>
      <c r="E239" t="s">
        <v>100</v>
      </c>
      <c r="F239"/>
      <c r="G239"/>
      <c r="H239" t="s">
        <v>260</v>
      </c>
      <c r="I239"/>
      <c r="J239" s="28">
        <v>41640</v>
      </c>
      <c r="K239" t="s">
        <v>989</v>
      </c>
      <c r="L239" t="s">
        <v>26</v>
      </c>
      <c r="M239"/>
      <c r="N239" t="s">
        <v>261</v>
      </c>
      <c r="O239"/>
      <c r="P239"/>
      <c r="Q239" t="s">
        <v>37</v>
      </c>
      <c r="R239" t="s">
        <v>37</v>
      </c>
      <c r="S239" t="s">
        <v>703</v>
      </c>
      <c r="T239"/>
      <c r="U239" s="2">
        <f>Table1[[#This Row],[Coal Power Plant Size (MW) or Share]]*0.593*9057*211.9*10^(-9)</f>
        <v>0</v>
      </c>
      <c r="V239" s="2">
        <f>Table1[[#This Row],[Annual Emissions (MMTCO2)]]*40</f>
        <v>0</v>
      </c>
      <c r="W239"/>
      <c r="X239"/>
      <c r="Y239"/>
      <c r="Z239" s="1"/>
      <c r="AA239" s="1"/>
    </row>
    <row r="240" spans="1:27" ht="27" hidden="1" customHeight="1">
      <c r="A240" t="s">
        <v>200</v>
      </c>
      <c r="B240" t="s">
        <v>211</v>
      </c>
      <c r="C240" t="s">
        <v>1465</v>
      </c>
      <c r="D240" s="6">
        <f>5000000/0.937</f>
        <v>5336179.2956243325</v>
      </c>
      <c r="E240" t="s">
        <v>100</v>
      </c>
      <c r="F240"/>
      <c r="G240"/>
      <c r="H240" t="s">
        <v>212</v>
      </c>
      <c r="I240"/>
      <c r="J240" s="28">
        <v>42005</v>
      </c>
      <c r="K240" t="s">
        <v>993</v>
      </c>
      <c r="L240" t="s">
        <v>213</v>
      </c>
      <c r="M240"/>
      <c r="N240" t="s">
        <v>214</v>
      </c>
      <c r="O240"/>
      <c r="P240"/>
      <c r="Q240" t="s">
        <v>37</v>
      </c>
      <c r="R240" t="s">
        <v>37</v>
      </c>
      <c r="S240" t="s">
        <v>703</v>
      </c>
      <c r="T240"/>
      <c r="U240" s="2">
        <f>Table1[[#This Row],[Coal Power Plant Size (MW) or Share]]*0.593*9057*211.9*10^(-9)</f>
        <v>0</v>
      </c>
      <c r="V240" s="2">
        <f>Table1[[#This Row],[Annual Emissions (MMTCO2)]]*40</f>
        <v>0</v>
      </c>
      <c r="W240"/>
      <c r="X240"/>
      <c r="Y240"/>
      <c r="Z240" s="1"/>
      <c r="AA240" s="1"/>
    </row>
    <row r="241" spans="1:27" ht="27" hidden="1" customHeight="1">
      <c r="A241" t="s">
        <v>200</v>
      </c>
      <c r="B241" t="s">
        <v>211</v>
      </c>
      <c r="C241" t="s">
        <v>1465</v>
      </c>
      <c r="D241" s="6">
        <f>14000000/0.937</f>
        <v>14941302.027748132</v>
      </c>
      <c r="E241" t="s">
        <v>100</v>
      </c>
      <c r="F241"/>
      <c r="G241"/>
      <c r="H241" t="s">
        <v>217</v>
      </c>
      <c r="I241"/>
      <c r="J241" s="28">
        <v>42005</v>
      </c>
      <c r="K241" t="s">
        <v>992</v>
      </c>
      <c r="L241" t="s">
        <v>85</v>
      </c>
      <c r="M241"/>
      <c r="N241" t="s">
        <v>214</v>
      </c>
      <c r="O241"/>
      <c r="P241"/>
      <c r="Q241" t="s">
        <v>37</v>
      </c>
      <c r="R241" t="s">
        <v>37</v>
      </c>
      <c r="S241" t="s">
        <v>703</v>
      </c>
      <c r="T241"/>
      <c r="U241" s="2">
        <f>Table1[[#This Row],[Coal Power Plant Size (MW) or Share]]*0.593*9057*211.9*10^(-9)</f>
        <v>0</v>
      </c>
      <c r="V241" s="2">
        <f>Table1[[#This Row],[Annual Emissions (MMTCO2)]]*40</f>
        <v>0</v>
      </c>
      <c r="W241"/>
      <c r="X241"/>
      <c r="Y241"/>
      <c r="Z241" s="1"/>
      <c r="AA241" s="1"/>
    </row>
    <row r="242" spans="1:27" ht="27" hidden="1" customHeight="1">
      <c r="A242" t="s">
        <v>200</v>
      </c>
      <c r="B242" t="s">
        <v>211</v>
      </c>
      <c r="C242" t="s">
        <v>1465</v>
      </c>
      <c r="D242" s="6">
        <f>7000000/0.937</f>
        <v>7470651.0138740661</v>
      </c>
      <c r="E242" t="s">
        <v>100</v>
      </c>
      <c r="F242"/>
      <c r="G242"/>
      <c r="H242" t="s">
        <v>215</v>
      </c>
      <c r="I242"/>
      <c r="J242" s="28">
        <v>42005</v>
      </c>
      <c r="K242" t="s">
        <v>1451</v>
      </c>
      <c r="L242" t="s">
        <v>110</v>
      </c>
      <c r="M242"/>
      <c r="N242" t="s">
        <v>216</v>
      </c>
      <c r="O242"/>
      <c r="P242"/>
      <c r="Q242" t="s">
        <v>37</v>
      </c>
      <c r="R242" t="s">
        <v>37</v>
      </c>
      <c r="S242" t="s">
        <v>703</v>
      </c>
      <c r="T242"/>
      <c r="U242" s="2">
        <f>Table1[[#This Row],[Coal Power Plant Size (MW) or Share]]*0.593*9057*211.9*10^(-9)</f>
        <v>0</v>
      </c>
      <c r="V242" s="2">
        <f>Table1[[#This Row],[Annual Emissions (MMTCO2)]]*40</f>
        <v>0</v>
      </c>
      <c r="W242"/>
      <c r="X242"/>
      <c r="Y242"/>
      <c r="Z242" s="1"/>
      <c r="AA242" s="1"/>
    </row>
    <row r="243" spans="1:27" ht="27" hidden="1" customHeight="1">
      <c r="A243" t="s">
        <v>200</v>
      </c>
      <c r="B243" t="s">
        <v>211</v>
      </c>
      <c r="C243" t="s">
        <v>1465</v>
      </c>
      <c r="D243" s="6">
        <f>4000000/0.937</f>
        <v>4268943.4364994662</v>
      </c>
      <c r="E243"/>
      <c r="F243"/>
      <c r="G243"/>
      <c r="H243" t="s">
        <v>1959</v>
      </c>
      <c r="I243" t="s">
        <v>826</v>
      </c>
      <c r="J243" s="28">
        <v>54789</v>
      </c>
      <c r="K243" t="s">
        <v>1130</v>
      </c>
      <c r="L243" t="s">
        <v>86</v>
      </c>
      <c r="M243"/>
      <c r="N243" t="s">
        <v>517</v>
      </c>
      <c r="O243"/>
      <c r="P243"/>
      <c r="Q243" t="s">
        <v>37</v>
      </c>
      <c r="R243" t="s">
        <v>37</v>
      </c>
      <c r="S243" t="s">
        <v>476</v>
      </c>
      <c r="T243">
        <v>0</v>
      </c>
      <c r="U243" s="2">
        <f>Table1[[#This Row],[Coal Power Plant Size (MW) or Share]]*0.593*9057*211.9*10^(-9)</f>
        <v>0</v>
      </c>
      <c r="V243" s="2">
        <f>Table1[[#This Row],[Annual Emissions (MMTCO2)]]*40</f>
        <v>0</v>
      </c>
      <c r="W243"/>
      <c r="X243"/>
      <c r="Y243"/>
      <c r="Z243" s="1"/>
      <c r="AA243" s="1"/>
    </row>
    <row r="244" spans="1:27" ht="27" hidden="1" customHeight="1">
      <c r="A244" t="s">
        <v>200</v>
      </c>
      <c r="B244" t="s">
        <v>211</v>
      </c>
      <c r="C244" t="s">
        <v>1465</v>
      </c>
      <c r="D244" s="6">
        <f>16000000/0.937</f>
        <v>17075773.745997865</v>
      </c>
      <c r="E244"/>
      <c r="F244"/>
      <c r="G244"/>
      <c r="H244" t="s">
        <v>1960</v>
      </c>
      <c r="I244" t="s">
        <v>826</v>
      </c>
      <c r="J244" s="28">
        <v>54789</v>
      </c>
      <c r="K244" t="s">
        <v>1130</v>
      </c>
      <c r="L244" t="s">
        <v>86</v>
      </c>
      <c r="M244"/>
      <c r="N244" t="s">
        <v>515</v>
      </c>
      <c r="O244"/>
      <c r="P244"/>
      <c r="Q244" t="s">
        <v>37</v>
      </c>
      <c r="R244" t="s">
        <v>37</v>
      </c>
      <c r="S244" t="s">
        <v>476</v>
      </c>
      <c r="T244">
        <v>0</v>
      </c>
      <c r="U244" s="2">
        <f>Table1[[#This Row],[Coal Power Plant Size (MW) or Share]]*0.593*9057*211.9*10^(-9)</f>
        <v>0</v>
      </c>
      <c r="V244" s="2">
        <f>Table1[[#This Row],[Annual Emissions (MMTCO2)]]*40</f>
        <v>0</v>
      </c>
      <c r="W244"/>
      <c r="X244"/>
      <c r="Y244"/>
      <c r="Z244" s="1"/>
      <c r="AA244" s="1"/>
    </row>
    <row r="245" spans="1:27" ht="27" hidden="1" customHeight="1">
      <c r="A245" t="s">
        <v>200</v>
      </c>
      <c r="B245" t="s">
        <v>211</v>
      </c>
      <c r="C245" t="s">
        <v>1465</v>
      </c>
      <c r="D245" s="6">
        <f>76000000/0.937</f>
        <v>81109925.293489859</v>
      </c>
      <c r="E245"/>
      <c r="F245"/>
      <c r="G245"/>
      <c r="H245" t="s">
        <v>499</v>
      </c>
      <c r="I245" t="s">
        <v>826</v>
      </c>
      <c r="J245" s="28">
        <v>54789</v>
      </c>
      <c r="K245" t="s">
        <v>1451</v>
      </c>
      <c r="L245" t="s">
        <v>110</v>
      </c>
      <c r="M245"/>
      <c r="N245" t="s">
        <v>500</v>
      </c>
      <c r="O245"/>
      <c r="P245"/>
      <c r="Q245" t="s">
        <v>37</v>
      </c>
      <c r="R245" t="s">
        <v>37</v>
      </c>
      <c r="S245" t="s">
        <v>476</v>
      </c>
      <c r="T245"/>
      <c r="U245" s="2">
        <f>Table1[[#This Row],[Coal Power Plant Size (MW) or Share]]*0.593*9057*211.9*10^(-9)</f>
        <v>0</v>
      </c>
      <c r="V245" s="2">
        <f>Table1[[#This Row],[Annual Emissions (MMTCO2)]]*40</f>
        <v>0</v>
      </c>
      <c r="W245"/>
      <c r="X245"/>
      <c r="Y245"/>
      <c r="Z245" s="1"/>
      <c r="AA245" s="1"/>
    </row>
    <row r="246" spans="1:27" ht="27" hidden="1" customHeight="1">
      <c r="A246" t="s">
        <v>200</v>
      </c>
      <c r="B246" t="s">
        <v>211</v>
      </c>
      <c r="C246" t="s">
        <v>1465</v>
      </c>
      <c r="D246" s="6">
        <f>3000000/0.937</f>
        <v>3201707.5773745994</v>
      </c>
      <c r="E246"/>
      <c r="F246"/>
      <c r="G246"/>
      <c r="H246" t="s">
        <v>215</v>
      </c>
      <c r="I246" t="s">
        <v>826</v>
      </c>
      <c r="J246" s="28">
        <v>54789</v>
      </c>
      <c r="K246" t="s">
        <v>1451</v>
      </c>
      <c r="L246" t="s">
        <v>110</v>
      </c>
      <c r="M246"/>
      <c r="N246" t="s">
        <v>518</v>
      </c>
      <c r="O246"/>
      <c r="P246"/>
      <c r="Q246" t="s">
        <v>37</v>
      </c>
      <c r="R246" t="s">
        <v>37</v>
      </c>
      <c r="S246" t="s">
        <v>476</v>
      </c>
      <c r="T246"/>
      <c r="U246" s="2">
        <f>Table1[[#This Row],[Coal Power Plant Size (MW) or Share]]*0.593*9057*211.9*10^(-9)</f>
        <v>0</v>
      </c>
      <c r="V246" s="2">
        <f>Table1[[#This Row],[Annual Emissions (MMTCO2)]]*40</f>
        <v>0</v>
      </c>
      <c r="W246"/>
      <c r="X246"/>
      <c r="Y246"/>
      <c r="Z246" s="1"/>
      <c r="AA246" s="1"/>
    </row>
    <row r="247" spans="1:27" ht="27" hidden="1" customHeight="1">
      <c r="A247" t="s">
        <v>200</v>
      </c>
      <c r="B247" t="s">
        <v>211</v>
      </c>
      <c r="C247" t="s">
        <v>1465</v>
      </c>
      <c r="D247" s="6">
        <f>1000000/0.937</f>
        <v>1067235.8591248665</v>
      </c>
      <c r="E247"/>
      <c r="F247"/>
      <c r="G247"/>
      <c r="H247" t="s">
        <v>522</v>
      </c>
      <c r="I247" t="s">
        <v>826</v>
      </c>
      <c r="J247" s="28">
        <v>54789</v>
      </c>
      <c r="K247" t="s">
        <v>1451</v>
      </c>
      <c r="L247" t="s">
        <v>110</v>
      </c>
      <c r="M247"/>
      <c r="N247" t="s">
        <v>521</v>
      </c>
      <c r="O247"/>
      <c r="P247"/>
      <c r="Q247" t="s">
        <v>37</v>
      </c>
      <c r="R247" t="s">
        <v>37</v>
      </c>
      <c r="S247" t="s">
        <v>476</v>
      </c>
      <c r="T247"/>
      <c r="U247" s="2">
        <f>Table1[[#This Row],[Coal Power Plant Size (MW) or Share]]*0.593*9057*211.9*10^(-9)</f>
        <v>0</v>
      </c>
      <c r="V247" s="2">
        <f>Table1[[#This Row],[Annual Emissions (MMTCO2)]]*40</f>
        <v>0</v>
      </c>
      <c r="W247"/>
      <c r="X247"/>
      <c r="Y247"/>
      <c r="Z247" s="1"/>
      <c r="AA247" s="1"/>
    </row>
    <row r="248" spans="1:27" ht="27" hidden="1" customHeight="1">
      <c r="A248" t="s">
        <v>200</v>
      </c>
      <c r="B248" t="s">
        <v>211</v>
      </c>
      <c r="C248" t="s">
        <v>1465</v>
      </c>
      <c r="D248" s="6">
        <f>1000000/0.937</f>
        <v>1067235.8591248665</v>
      </c>
      <c r="E248"/>
      <c r="F248"/>
      <c r="G248"/>
      <c r="H248" t="s">
        <v>523</v>
      </c>
      <c r="I248" t="s">
        <v>826</v>
      </c>
      <c r="J248" s="28">
        <v>54789</v>
      </c>
      <c r="K248" t="s">
        <v>1451</v>
      </c>
      <c r="L248" t="s">
        <v>110</v>
      </c>
      <c r="M248"/>
      <c r="N248" t="s">
        <v>521</v>
      </c>
      <c r="O248"/>
      <c r="P248"/>
      <c r="Q248" t="s">
        <v>37</v>
      </c>
      <c r="R248" t="s">
        <v>37</v>
      </c>
      <c r="S248" t="s">
        <v>476</v>
      </c>
      <c r="T248"/>
      <c r="U248" s="2">
        <f>Table1[[#This Row],[Coal Power Plant Size (MW) or Share]]*0.593*9057*211.9*10^(-9)</f>
        <v>0</v>
      </c>
      <c r="V248" s="2">
        <f>Table1[[#This Row],[Annual Emissions (MMTCO2)]]*40</f>
        <v>0</v>
      </c>
      <c r="W248"/>
      <c r="X248"/>
      <c r="Y248"/>
      <c r="Z248" s="1"/>
      <c r="AA248" s="1"/>
    </row>
    <row r="249" spans="1:27" ht="27" hidden="1" customHeight="1">
      <c r="A249" t="s">
        <v>200</v>
      </c>
      <c r="B249" t="s">
        <v>211</v>
      </c>
      <c r="C249" t="s">
        <v>1465</v>
      </c>
      <c r="D249" s="6">
        <f>18000000/0.937</f>
        <v>19210245.464247599</v>
      </c>
      <c r="E249"/>
      <c r="F249"/>
      <c r="G249"/>
      <c r="H249" t="s">
        <v>513</v>
      </c>
      <c r="I249" t="s">
        <v>826</v>
      </c>
      <c r="J249" s="28">
        <v>54789</v>
      </c>
      <c r="K249" t="s">
        <v>1451</v>
      </c>
      <c r="L249" t="s">
        <v>104</v>
      </c>
      <c r="M249"/>
      <c r="N249" t="s">
        <v>514</v>
      </c>
      <c r="O249"/>
      <c r="P249"/>
      <c r="Q249" t="s">
        <v>37</v>
      </c>
      <c r="R249" t="s">
        <v>37</v>
      </c>
      <c r="S249" t="s">
        <v>476</v>
      </c>
      <c r="T249"/>
      <c r="U249" s="2">
        <f>Table1[[#This Row],[Coal Power Plant Size (MW) or Share]]*0.593*9057*211.9*10^(-9)</f>
        <v>0</v>
      </c>
      <c r="V249" s="2">
        <f>Table1[[#This Row],[Annual Emissions (MMTCO2)]]*40</f>
        <v>0</v>
      </c>
      <c r="W249"/>
      <c r="X249"/>
      <c r="Y249"/>
      <c r="Z249" s="1"/>
      <c r="AA249" s="1"/>
    </row>
    <row r="250" spans="1:27" ht="27" hidden="1" customHeight="1">
      <c r="A250" t="s">
        <v>200</v>
      </c>
      <c r="B250" t="s">
        <v>211</v>
      </c>
      <c r="C250" t="s">
        <v>1465</v>
      </c>
      <c r="D250" s="6">
        <f>300000/0.937</f>
        <v>320170.75773745996</v>
      </c>
      <c r="E250"/>
      <c r="F250"/>
      <c r="G250"/>
      <c r="H250" t="s">
        <v>524</v>
      </c>
      <c r="I250" t="s">
        <v>826</v>
      </c>
      <c r="J250" s="28">
        <v>54789</v>
      </c>
      <c r="K250" t="s">
        <v>992</v>
      </c>
      <c r="L250" t="s">
        <v>85</v>
      </c>
      <c r="M250"/>
      <c r="N250" t="s">
        <v>525</v>
      </c>
      <c r="O250"/>
      <c r="P250"/>
      <c r="Q250" t="s">
        <v>37</v>
      </c>
      <c r="R250" t="s">
        <v>37</v>
      </c>
      <c r="S250" t="s">
        <v>476</v>
      </c>
      <c r="T250"/>
      <c r="U250" s="2">
        <f>Table1[[#This Row],[Coal Power Plant Size (MW) or Share]]*0.593*9057*211.9*10^(-9)</f>
        <v>0</v>
      </c>
      <c r="V250" s="2">
        <f>Table1[[#This Row],[Annual Emissions (MMTCO2)]]*40</f>
        <v>0</v>
      </c>
      <c r="W250"/>
      <c r="X250"/>
      <c r="Y250"/>
      <c r="Z250" s="1"/>
      <c r="AA250" s="1"/>
    </row>
    <row r="251" spans="1:27" ht="27" hidden="1" customHeight="1">
      <c r="A251" t="s">
        <v>200</v>
      </c>
      <c r="B251" t="s">
        <v>222</v>
      </c>
      <c r="C251" t="s">
        <v>126</v>
      </c>
      <c r="D251" s="6">
        <v>96705007.552499995</v>
      </c>
      <c r="E251" t="s">
        <v>251</v>
      </c>
      <c r="F251"/>
      <c r="G251"/>
      <c r="H251" t="s">
        <v>252</v>
      </c>
      <c r="I251"/>
      <c r="J251" s="28">
        <v>41416</v>
      </c>
      <c r="K251" t="s">
        <v>993</v>
      </c>
      <c r="L251" t="s">
        <v>225</v>
      </c>
      <c r="M251"/>
      <c r="N251"/>
      <c r="O251" t="s">
        <v>253</v>
      </c>
      <c r="P251"/>
      <c r="Q251" t="s">
        <v>17</v>
      </c>
      <c r="R251" t="s">
        <v>23</v>
      </c>
      <c r="S251" t="s">
        <v>703</v>
      </c>
      <c r="T251"/>
      <c r="U251" s="2">
        <f>Table1[[#This Row],[Coal Power Plant Size (MW) or Share]]*0.593*9057*211.9*10^(-9)</f>
        <v>0</v>
      </c>
      <c r="V251" s="2">
        <f>Table1[[#This Row],[Annual Emissions (MMTCO2)]]*40</f>
        <v>0</v>
      </c>
      <c r="W251"/>
      <c r="X251"/>
      <c r="Y251"/>
      <c r="Z251" s="1"/>
      <c r="AA251" s="1"/>
    </row>
    <row r="252" spans="1:27" ht="27" hidden="1" customHeight="1">
      <c r="A252" t="s">
        <v>200</v>
      </c>
      <c r="B252" t="s">
        <v>222</v>
      </c>
      <c r="C252" t="s">
        <v>126</v>
      </c>
      <c r="D252" s="6">
        <v>75695673.960500002</v>
      </c>
      <c r="E252" t="s">
        <v>229</v>
      </c>
      <c r="F252"/>
      <c r="G252"/>
      <c r="H252" t="s">
        <v>258</v>
      </c>
      <c r="I252" t="s">
        <v>259</v>
      </c>
      <c r="J252" s="28">
        <v>41626</v>
      </c>
      <c r="K252" t="s">
        <v>989</v>
      </c>
      <c r="L252" t="s">
        <v>26</v>
      </c>
      <c r="M252"/>
      <c r="N252"/>
      <c r="O252"/>
      <c r="P252"/>
      <c r="Q252" t="s">
        <v>17</v>
      </c>
      <c r="R252" t="s">
        <v>18</v>
      </c>
      <c r="S252" t="s">
        <v>703</v>
      </c>
      <c r="T252">
        <v>1000</v>
      </c>
      <c r="U252" s="2">
        <f>Table1[[#This Row],[Coal Power Plant Size (MW) or Share]]*0.593*9057*211.9*10^(-9)</f>
        <v>1.1380727319000001</v>
      </c>
      <c r="V252" s="2">
        <f>Table1[[#This Row],[Annual Emissions (MMTCO2)]]*40</f>
        <v>45.522909276000007</v>
      </c>
      <c r="W252"/>
      <c r="X252"/>
      <c r="Y252"/>
      <c r="Z252" s="1"/>
      <c r="AA252" s="1"/>
    </row>
    <row r="253" spans="1:27" ht="27" hidden="1" customHeight="1">
      <c r="A253" t="s">
        <v>200</v>
      </c>
      <c r="B253" t="s">
        <v>211</v>
      </c>
      <c r="C253" t="s">
        <v>1465</v>
      </c>
      <c r="D253" s="6">
        <v>780000000</v>
      </c>
      <c r="E253"/>
      <c r="F253"/>
      <c r="G253"/>
      <c r="H253" t="s">
        <v>490</v>
      </c>
      <c r="I253" t="s">
        <v>1109</v>
      </c>
      <c r="J253" s="28">
        <v>41628</v>
      </c>
      <c r="K253" t="s">
        <v>992</v>
      </c>
      <c r="L253" t="s">
        <v>205</v>
      </c>
      <c r="M253"/>
      <c r="N253" t="s">
        <v>1112</v>
      </c>
      <c r="O253" t="s">
        <v>1107</v>
      </c>
      <c r="P253" t="s">
        <v>1110</v>
      </c>
      <c r="Q253" t="s">
        <v>17</v>
      </c>
      <c r="R253" t="s">
        <v>18</v>
      </c>
      <c r="S253" t="s">
        <v>703</v>
      </c>
      <c r="T253"/>
      <c r="U253" s="2">
        <f>Table1[[#This Row],[Coal Power Plant Size (MW) or Share]]*0.593*9057*211.9*10^(-9)</f>
        <v>0</v>
      </c>
      <c r="V253" s="2">
        <f>Table1[[#This Row],[Annual Emissions (MMTCO2)]]*40</f>
        <v>0</v>
      </c>
      <c r="W253"/>
      <c r="X253"/>
      <c r="Y253"/>
      <c r="Z253" s="1"/>
      <c r="AA253" s="1"/>
    </row>
    <row r="254" spans="1:27" ht="27" hidden="1" customHeight="1">
      <c r="A254" t="s">
        <v>200</v>
      </c>
      <c r="B254" t="s">
        <v>218</v>
      </c>
      <c r="C254" t="s">
        <v>126</v>
      </c>
      <c r="D254" s="6">
        <f>200000000/0.937</f>
        <v>213447171.82497332</v>
      </c>
      <c r="E254" t="s">
        <v>1108</v>
      </c>
      <c r="F254"/>
      <c r="G254"/>
      <c r="H254" t="s">
        <v>490</v>
      </c>
      <c r="I254" t="s">
        <v>1107</v>
      </c>
      <c r="J254" s="28">
        <v>41628</v>
      </c>
      <c r="K254" t="s">
        <v>992</v>
      </c>
      <c r="L254" t="s">
        <v>205</v>
      </c>
      <c r="M254"/>
      <c r="N254" t="s">
        <v>1112</v>
      </c>
      <c r="O254" t="s">
        <v>1111</v>
      </c>
      <c r="P254"/>
      <c r="Q254" t="s">
        <v>17</v>
      </c>
      <c r="R254" t="s">
        <v>18</v>
      </c>
      <c r="S254" t="s">
        <v>703</v>
      </c>
      <c r="T254">
        <v>660</v>
      </c>
      <c r="U254" s="2">
        <f>Table1[[#This Row],[Coal Power Plant Size (MW) or Share]]*0.593*9057*211.9*10^(-9)</f>
        <v>0.75112800305400007</v>
      </c>
      <c r="V254" s="2">
        <f>Table1[[#This Row],[Annual Emissions (MMTCO2)]]*40</f>
        <v>30.045120122160004</v>
      </c>
      <c r="W254"/>
      <c r="X254"/>
      <c r="Y254"/>
      <c r="Z254" s="1"/>
      <c r="AA254" s="1"/>
    </row>
    <row r="255" spans="1:27" ht="27" hidden="1" customHeight="1">
      <c r="A255" t="s">
        <v>200</v>
      </c>
      <c r="B255" t="s">
        <v>211</v>
      </c>
      <c r="C255" t="s">
        <v>1465</v>
      </c>
      <c r="D255" s="6">
        <f>28000000/0.784</f>
        <v>35714285.714285716</v>
      </c>
      <c r="E255" t="s">
        <v>100</v>
      </c>
      <c r="F255"/>
      <c r="G255"/>
      <c r="H255" t="s">
        <v>262</v>
      </c>
      <c r="I255"/>
      <c r="J255" s="28">
        <v>41640</v>
      </c>
      <c r="K255" t="s">
        <v>992</v>
      </c>
      <c r="L255" t="s">
        <v>221</v>
      </c>
      <c r="M255"/>
      <c r="N255" t="s">
        <v>263</v>
      </c>
      <c r="O255"/>
      <c r="P255"/>
      <c r="Q255" t="s">
        <v>17</v>
      </c>
      <c r="R255" t="s">
        <v>17</v>
      </c>
      <c r="S255" t="s">
        <v>703</v>
      </c>
      <c r="T255"/>
      <c r="U255" s="2">
        <f>Table1[[#This Row],[Coal Power Plant Size (MW) or Share]]*0.593*9057*211.9*10^(-9)</f>
        <v>0</v>
      </c>
      <c r="V255" s="2">
        <f>Table1[[#This Row],[Annual Emissions (MMTCO2)]]*40</f>
        <v>0</v>
      </c>
      <c r="W255"/>
      <c r="X255"/>
      <c r="Y255"/>
      <c r="Z255" s="1"/>
      <c r="AA255" s="1"/>
    </row>
    <row r="256" spans="1:27" ht="27" hidden="1" customHeight="1">
      <c r="A256" t="s">
        <v>200</v>
      </c>
      <c r="B256" t="s">
        <v>211</v>
      </c>
      <c r="C256" t="s">
        <v>1465</v>
      </c>
      <c r="D256" s="6">
        <f>300000/0.784</f>
        <v>382653.06122448976</v>
      </c>
      <c r="E256" t="s">
        <v>100</v>
      </c>
      <c r="F256"/>
      <c r="G256"/>
      <c r="H256" t="s">
        <v>273</v>
      </c>
      <c r="I256"/>
      <c r="J256" s="28">
        <v>41640</v>
      </c>
      <c r="K256" t="s">
        <v>992</v>
      </c>
      <c r="L256" t="s">
        <v>205</v>
      </c>
      <c r="M256"/>
      <c r="N256" t="s">
        <v>246</v>
      </c>
      <c r="O256"/>
      <c r="P256"/>
      <c r="Q256" t="s">
        <v>17</v>
      </c>
      <c r="R256" t="s">
        <v>17</v>
      </c>
      <c r="S256" t="s">
        <v>703</v>
      </c>
      <c r="T256"/>
      <c r="U256" s="2">
        <f>Table1[[#This Row],[Coal Power Plant Size (MW) or Share]]*0.593*9057*211.9*10^(-9)</f>
        <v>0</v>
      </c>
      <c r="V256" s="2">
        <f>Table1[[#This Row],[Annual Emissions (MMTCO2)]]*40</f>
        <v>0</v>
      </c>
      <c r="W256"/>
      <c r="X256"/>
      <c r="Y256"/>
      <c r="Z256" s="1"/>
      <c r="AA256" s="1"/>
    </row>
    <row r="257" spans="1:27" ht="27" hidden="1" customHeight="1">
      <c r="A257" t="s">
        <v>200</v>
      </c>
      <c r="B257" t="s">
        <v>211</v>
      </c>
      <c r="C257" t="s">
        <v>1465</v>
      </c>
      <c r="D257" s="6">
        <v>20231720.640000001</v>
      </c>
      <c r="E257" t="s">
        <v>1274</v>
      </c>
      <c r="F257" t="s">
        <v>274</v>
      </c>
      <c r="G257" t="s">
        <v>1275</v>
      </c>
      <c r="H257" t="s">
        <v>275</v>
      </c>
      <c r="I257" t="s">
        <v>276</v>
      </c>
      <c r="J257" s="28">
        <v>41671</v>
      </c>
      <c r="K257" t="s">
        <v>989</v>
      </c>
      <c r="L257" t="s">
        <v>26</v>
      </c>
      <c r="M257" t="s">
        <v>631</v>
      </c>
      <c r="N257" t="s">
        <v>277</v>
      </c>
      <c r="O257"/>
      <c r="P257"/>
      <c r="Q257" t="s">
        <v>17</v>
      </c>
      <c r="R257" t="s">
        <v>226</v>
      </c>
      <c r="S257" t="s">
        <v>703</v>
      </c>
      <c r="T257">
        <v>800</v>
      </c>
      <c r="U257" s="2">
        <f>Table1[[#This Row],[Coal Power Plant Size (MW) or Share]]*0.593*9057*211.9*10^(-9)</f>
        <v>0.91045818552000002</v>
      </c>
      <c r="V257" s="2">
        <f>Table1[[#This Row],[Annual Emissions (MMTCO2)]]*40</f>
        <v>36.418327420799997</v>
      </c>
      <c r="W257"/>
      <c r="X257"/>
      <c r="Y257"/>
      <c r="Z257" s="1"/>
      <c r="AA257" s="1"/>
    </row>
    <row r="258" spans="1:27" ht="27" hidden="1" customHeight="1">
      <c r="A258" t="s">
        <v>200</v>
      </c>
      <c r="B258" t="s">
        <v>28</v>
      </c>
      <c r="C258" t="s">
        <v>14</v>
      </c>
      <c r="D258" s="6">
        <v>8219344.2675580001</v>
      </c>
      <c r="E258" t="s">
        <v>47</v>
      </c>
      <c r="F258"/>
      <c r="G258"/>
      <c r="H258" t="s">
        <v>48</v>
      </c>
      <c r="I258"/>
      <c r="J258" s="28">
        <v>42064</v>
      </c>
      <c r="K258" t="s">
        <v>1482</v>
      </c>
      <c r="L258" t="s">
        <v>49</v>
      </c>
      <c r="M258"/>
      <c r="N258" t="s">
        <v>50</v>
      </c>
      <c r="O258" t="s">
        <v>51</v>
      </c>
      <c r="P258"/>
      <c r="Q258" t="s">
        <v>17</v>
      </c>
      <c r="R258" t="s">
        <v>18</v>
      </c>
      <c r="S258" t="s">
        <v>703</v>
      </c>
      <c r="T258"/>
      <c r="U258" s="2">
        <f>Table1[[#This Row],[Coal Power Plant Size (MW) or Share]]*0.593*9057*211.9*10^(-9)</f>
        <v>0</v>
      </c>
      <c r="V258" s="2">
        <f>Table1[[#This Row],[Annual Emissions (MMTCO2)]]*40</f>
        <v>0</v>
      </c>
      <c r="W258"/>
      <c r="X258"/>
      <c r="Y258"/>
      <c r="Z258" s="1"/>
      <c r="AA258" s="1"/>
    </row>
    <row r="259" spans="1:27" ht="27" hidden="1" customHeight="1">
      <c r="A259" t="s">
        <v>200</v>
      </c>
      <c r="B259" t="s">
        <v>211</v>
      </c>
      <c r="C259" t="s">
        <v>1465</v>
      </c>
      <c r="D259" s="6">
        <v>0</v>
      </c>
      <c r="E259"/>
      <c r="F259"/>
      <c r="G259"/>
      <c r="H259" t="s">
        <v>434</v>
      </c>
      <c r="I259"/>
      <c r="J259" s="28">
        <v>42522</v>
      </c>
      <c r="K259" t="s">
        <v>992</v>
      </c>
      <c r="L259" t="s">
        <v>435</v>
      </c>
      <c r="M259"/>
      <c r="N259" t="s">
        <v>436</v>
      </c>
      <c r="O259"/>
      <c r="P259"/>
      <c r="Q259" t="s">
        <v>17</v>
      </c>
      <c r="R259" t="s">
        <v>18</v>
      </c>
      <c r="S259" t="s">
        <v>1443</v>
      </c>
      <c r="T259">
        <v>0</v>
      </c>
      <c r="U259" s="2">
        <f>Table1[[#This Row],[Coal Power Plant Size (MW) or Share]]*0.593*9057*211.9*10^(-9)</f>
        <v>0</v>
      </c>
      <c r="V259" s="2">
        <f>Table1[[#This Row],[Annual Emissions (MMTCO2)]]*40</f>
        <v>0</v>
      </c>
      <c r="W259"/>
      <c r="X259"/>
      <c r="Y259"/>
      <c r="Z259" s="1"/>
      <c r="AA259" s="1"/>
    </row>
    <row r="260" spans="1:27" ht="27" hidden="1" customHeight="1">
      <c r="A260" t="s">
        <v>200</v>
      </c>
      <c r="B260" t="s">
        <v>211</v>
      </c>
      <c r="C260" t="s">
        <v>1465</v>
      </c>
      <c r="D260" s="6">
        <f>22000000/0.937</f>
        <v>23479188.900747065</v>
      </c>
      <c r="E260"/>
      <c r="F260"/>
      <c r="G260"/>
      <c r="H260" t="s">
        <v>509</v>
      </c>
      <c r="I260" t="s">
        <v>826</v>
      </c>
      <c r="J260" s="28">
        <v>54789</v>
      </c>
      <c r="K260" t="s">
        <v>992</v>
      </c>
      <c r="L260" t="s">
        <v>205</v>
      </c>
      <c r="M260"/>
      <c r="N260" t="s">
        <v>510</v>
      </c>
      <c r="O260"/>
      <c r="P260"/>
      <c r="Q260" t="s">
        <v>17</v>
      </c>
      <c r="R260" t="s">
        <v>17</v>
      </c>
      <c r="S260" t="s">
        <v>476</v>
      </c>
      <c r="T260"/>
      <c r="U260" s="2">
        <f>Table1[[#This Row],[Coal Power Plant Size (MW) or Share]]*0.593*9057*211.9*10^(-9)</f>
        <v>0</v>
      </c>
      <c r="V260" s="2">
        <f>Table1[[#This Row],[Annual Emissions (MMTCO2)]]*40</f>
        <v>0</v>
      </c>
      <c r="W260"/>
      <c r="X260"/>
      <c r="Y260"/>
      <c r="Z260" s="1"/>
      <c r="AA260" s="1"/>
    </row>
    <row r="261" spans="1:27" ht="27" hidden="1" customHeight="1">
      <c r="A261" t="s">
        <v>200</v>
      </c>
      <c r="B261" t="s">
        <v>211</v>
      </c>
      <c r="C261" t="s">
        <v>1465</v>
      </c>
      <c r="D261" s="6">
        <f>197000000/0.937</f>
        <v>210245464.24759871</v>
      </c>
      <c r="E261"/>
      <c r="F261"/>
      <c r="G261"/>
      <c r="H261" t="s">
        <v>491</v>
      </c>
      <c r="I261" t="s">
        <v>826</v>
      </c>
      <c r="J261" s="28">
        <v>54789</v>
      </c>
      <c r="K261" t="s">
        <v>1451</v>
      </c>
      <c r="L261" t="s">
        <v>93</v>
      </c>
      <c r="M261"/>
      <c r="N261" t="s">
        <v>492</v>
      </c>
      <c r="O261"/>
      <c r="P261"/>
      <c r="Q261" t="s">
        <v>17</v>
      </c>
      <c r="R261" t="s">
        <v>17</v>
      </c>
      <c r="S261" t="s">
        <v>476</v>
      </c>
      <c r="T261"/>
      <c r="U261" s="2">
        <f>Table1[[#This Row],[Coal Power Plant Size (MW) or Share]]*0.593*9057*211.9*10^(-9)</f>
        <v>0</v>
      </c>
      <c r="V261" s="2">
        <f>Table1[[#This Row],[Annual Emissions (MMTCO2)]]*40</f>
        <v>0</v>
      </c>
      <c r="W261"/>
      <c r="X261"/>
      <c r="Y261"/>
      <c r="Z261" s="1"/>
      <c r="AA261" s="1"/>
    </row>
    <row r="262" spans="1:27" ht="27" hidden="1" customHeight="1">
      <c r="A262" t="s">
        <v>200</v>
      </c>
      <c r="B262" t="s">
        <v>211</v>
      </c>
      <c r="C262" t="s">
        <v>1465</v>
      </c>
      <c r="D262" s="6">
        <f>1000000/0.937</f>
        <v>1067235.8591248665</v>
      </c>
      <c r="E262"/>
      <c r="F262"/>
      <c r="G262"/>
      <c r="H262" t="s">
        <v>520</v>
      </c>
      <c r="I262" t="s">
        <v>826</v>
      </c>
      <c r="J262" s="28">
        <v>54789</v>
      </c>
      <c r="K262" t="s">
        <v>1451</v>
      </c>
      <c r="L262" t="s">
        <v>110</v>
      </c>
      <c r="M262"/>
      <c r="N262" t="s">
        <v>521</v>
      </c>
      <c r="O262"/>
      <c r="P262"/>
      <c r="Q262" t="s">
        <v>17</v>
      </c>
      <c r="R262" t="s">
        <v>17</v>
      </c>
      <c r="S262" t="s">
        <v>476</v>
      </c>
      <c r="T262"/>
      <c r="U262" s="2">
        <f>Table1[[#This Row],[Coal Power Plant Size (MW) or Share]]*0.593*9057*211.9*10^(-9)</f>
        <v>0</v>
      </c>
      <c r="V262" s="2">
        <f>Table1[[#This Row],[Annual Emissions (MMTCO2)]]*40</f>
        <v>0</v>
      </c>
      <c r="W262"/>
      <c r="X262"/>
      <c r="Y262"/>
      <c r="Z262" s="1"/>
      <c r="AA262" s="1"/>
    </row>
    <row r="263" spans="1:27" ht="27" hidden="1" customHeight="1">
      <c r="A263" t="s">
        <v>200</v>
      </c>
      <c r="B263" t="s">
        <v>211</v>
      </c>
      <c r="C263" t="s">
        <v>1465</v>
      </c>
      <c r="D263" s="6">
        <f>2000000/0.937</f>
        <v>2134471.7182497331</v>
      </c>
      <c r="E263"/>
      <c r="F263"/>
      <c r="G263"/>
      <c r="H263" t="s">
        <v>511</v>
      </c>
      <c r="I263" t="s">
        <v>826</v>
      </c>
      <c r="J263" s="28">
        <v>54789</v>
      </c>
      <c r="K263" t="s">
        <v>1451</v>
      </c>
      <c r="L263" t="s">
        <v>110</v>
      </c>
      <c r="M263"/>
      <c r="N263" t="s">
        <v>519</v>
      </c>
      <c r="O263"/>
      <c r="P263"/>
      <c r="Q263" t="s">
        <v>17</v>
      </c>
      <c r="R263" t="s">
        <v>17</v>
      </c>
      <c r="S263" t="s">
        <v>476</v>
      </c>
      <c r="T263"/>
      <c r="U263" s="2">
        <f>Table1[[#This Row],[Coal Power Plant Size (MW) or Share]]*0.593*9057*211.9*10^(-9)</f>
        <v>0</v>
      </c>
      <c r="V263" s="2">
        <f>Table1[[#This Row],[Annual Emissions (MMTCO2)]]*40</f>
        <v>0</v>
      </c>
      <c r="W263"/>
      <c r="X263"/>
      <c r="Y263"/>
      <c r="Z263" s="1"/>
      <c r="AA263" s="1"/>
    </row>
    <row r="264" spans="1:27" ht="27" hidden="1" customHeight="1">
      <c r="A264" t="s">
        <v>200</v>
      </c>
      <c r="B264" t="s">
        <v>211</v>
      </c>
      <c r="C264" t="s">
        <v>1465</v>
      </c>
      <c r="D264" s="6">
        <f>20000000/0.937</f>
        <v>21344717.18249733</v>
      </c>
      <c r="E264"/>
      <c r="F264"/>
      <c r="G264"/>
      <c r="H264" t="s">
        <v>511</v>
      </c>
      <c r="I264" t="s">
        <v>826</v>
      </c>
      <c r="J264" s="28">
        <v>54789</v>
      </c>
      <c r="K264" t="s">
        <v>1451</v>
      </c>
      <c r="L264" t="s">
        <v>110</v>
      </c>
      <c r="M264"/>
      <c r="N264" t="s">
        <v>512</v>
      </c>
      <c r="O264"/>
      <c r="P264"/>
      <c r="Q264" t="s">
        <v>17</v>
      </c>
      <c r="R264" t="s">
        <v>17</v>
      </c>
      <c r="S264" t="s">
        <v>476</v>
      </c>
      <c r="T264"/>
      <c r="U264" s="2">
        <f>Table1[[#This Row],[Coal Power Plant Size (MW) or Share]]*0.593*9057*211.9*10^(-9)</f>
        <v>0</v>
      </c>
      <c r="V264" s="2">
        <f>Table1[[#This Row],[Annual Emissions (MMTCO2)]]*40</f>
        <v>0</v>
      </c>
      <c r="W264"/>
      <c r="X264"/>
      <c r="Y264"/>
      <c r="Z264" s="1"/>
      <c r="AA264" s="1"/>
    </row>
    <row r="265" spans="1:27" ht="27" hidden="1" customHeight="1">
      <c r="A265" t="s">
        <v>200</v>
      </c>
      <c r="B265" t="s">
        <v>211</v>
      </c>
      <c r="C265" t="s">
        <v>1465</v>
      </c>
      <c r="D265" s="6">
        <f>42000000/0.937</f>
        <v>44823906.083244391</v>
      </c>
      <c r="E265"/>
      <c r="F265"/>
      <c r="G265"/>
      <c r="H265" t="s">
        <v>506</v>
      </c>
      <c r="I265" t="s">
        <v>826</v>
      </c>
      <c r="J265" s="28">
        <v>54789</v>
      </c>
      <c r="K265" t="s">
        <v>1482</v>
      </c>
      <c r="L265" t="s">
        <v>31</v>
      </c>
      <c r="M265"/>
      <c r="N265" t="s">
        <v>507</v>
      </c>
      <c r="O265"/>
      <c r="P265"/>
      <c r="Q265" t="s">
        <v>17</v>
      </c>
      <c r="R265" t="s">
        <v>17</v>
      </c>
      <c r="S265" t="s">
        <v>476</v>
      </c>
      <c r="T265"/>
      <c r="U265" s="2">
        <f>Table1[[#This Row],[Coal Power Plant Size (MW) or Share]]*0.593*9057*211.9*10^(-9)</f>
        <v>0</v>
      </c>
      <c r="V265" s="2">
        <f>Table1[[#This Row],[Annual Emissions (MMTCO2)]]*40</f>
        <v>0</v>
      </c>
      <c r="W265"/>
      <c r="X265"/>
      <c r="Y265"/>
      <c r="Z265" s="1"/>
      <c r="AA265" s="1"/>
    </row>
    <row r="266" spans="1:27" ht="27" hidden="1" customHeight="1">
      <c r="A266" t="s">
        <v>200</v>
      </c>
      <c r="B266" t="s">
        <v>218</v>
      </c>
      <c r="C266" t="s">
        <v>126</v>
      </c>
      <c r="D266" s="6">
        <v>123596454.02249999</v>
      </c>
      <c r="E266" t="s">
        <v>229</v>
      </c>
      <c r="F266"/>
      <c r="G266"/>
      <c r="H266" t="s">
        <v>254</v>
      </c>
      <c r="I266" t="s">
        <v>255</v>
      </c>
      <c r="J266" s="28">
        <v>41453</v>
      </c>
      <c r="K266" t="s">
        <v>989</v>
      </c>
      <c r="L266" t="s">
        <v>26</v>
      </c>
      <c r="M266"/>
      <c r="N266"/>
      <c r="O266"/>
      <c r="P266"/>
      <c r="Q266" t="s">
        <v>203</v>
      </c>
      <c r="R266" t="s">
        <v>204</v>
      </c>
      <c r="S266" t="s">
        <v>703</v>
      </c>
      <c r="T266"/>
      <c r="U266" s="2">
        <f>Table1[[#This Row],[Coal Power Plant Size (MW) or Share]]*0.593*9057*211.9*10^(-9)</f>
        <v>0</v>
      </c>
      <c r="V266" s="2">
        <f>Table1[[#This Row],[Annual Emissions (MMTCO2)]]*40</f>
        <v>0</v>
      </c>
      <c r="W266"/>
      <c r="X266"/>
      <c r="Y266"/>
      <c r="Z266" s="1"/>
      <c r="AA266" s="1"/>
    </row>
    <row r="267" spans="1:27" ht="27" hidden="1" customHeight="1">
      <c r="A267" t="s">
        <v>200</v>
      </c>
      <c r="B267" t="s">
        <v>222</v>
      </c>
      <c r="C267" t="s">
        <v>126</v>
      </c>
      <c r="D267" s="6">
        <v>232575000</v>
      </c>
      <c r="E267" t="s">
        <v>100</v>
      </c>
      <c r="F267"/>
      <c r="G267"/>
      <c r="H267" t="s">
        <v>487</v>
      </c>
      <c r="I267"/>
      <c r="J267" s="28">
        <v>54789</v>
      </c>
      <c r="K267" t="s">
        <v>991</v>
      </c>
      <c r="L267" t="s">
        <v>67</v>
      </c>
      <c r="M267"/>
      <c r="N267" t="s">
        <v>488</v>
      </c>
      <c r="O267"/>
      <c r="P267"/>
      <c r="Q267" t="s">
        <v>203</v>
      </c>
      <c r="R267" t="s">
        <v>203</v>
      </c>
      <c r="S267" t="s">
        <v>476</v>
      </c>
      <c r="T267"/>
      <c r="U267" s="2">
        <f>Table1[[#This Row],[Coal Power Plant Size (MW) or Share]]*0.593*9057*211.9*10^(-9)</f>
        <v>0</v>
      </c>
      <c r="V267" s="2">
        <f>Table1[[#This Row],[Annual Emissions (MMTCO2)]]*40</f>
        <v>0</v>
      </c>
      <c r="W267"/>
      <c r="X267"/>
      <c r="Y267"/>
      <c r="Z267" s="1"/>
      <c r="AA267" s="1"/>
    </row>
    <row r="268" spans="1:27" ht="27" hidden="1" customHeight="1">
      <c r="A268" t="s">
        <v>200</v>
      </c>
      <c r="B268" t="s">
        <v>222</v>
      </c>
      <c r="C268" t="s">
        <v>126</v>
      </c>
      <c r="D268" s="6">
        <v>39870000</v>
      </c>
      <c r="E268" t="s">
        <v>100</v>
      </c>
      <c r="F268"/>
      <c r="G268"/>
      <c r="H268" t="s">
        <v>508</v>
      </c>
      <c r="I268" t="s">
        <v>826</v>
      </c>
      <c r="J268" s="28">
        <v>54789</v>
      </c>
      <c r="K268" t="s">
        <v>1451</v>
      </c>
      <c r="L268" t="s">
        <v>36</v>
      </c>
      <c r="M268"/>
      <c r="N268" t="s">
        <v>503</v>
      </c>
      <c r="O268"/>
      <c r="P268"/>
      <c r="Q268" t="s">
        <v>203</v>
      </c>
      <c r="R268" t="s">
        <v>203</v>
      </c>
      <c r="S268" t="s">
        <v>476</v>
      </c>
      <c r="T268">
        <v>0</v>
      </c>
      <c r="U268" s="2">
        <f>Table1[[#This Row],[Coal Power Plant Size (MW) or Share]]*0.593*9057*211.9*10^(-9)</f>
        <v>0</v>
      </c>
      <c r="V268" s="2">
        <f>Table1[[#This Row],[Annual Emissions (MMTCO2)]]*40</f>
        <v>0</v>
      </c>
      <c r="W268"/>
      <c r="X268"/>
      <c r="Y268"/>
      <c r="Z268" s="1"/>
      <c r="AA268" s="1"/>
    </row>
    <row r="269" spans="1:27" ht="27" hidden="1" customHeight="1">
      <c r="A269" t="s">
        <v>200</v>
      </c>
      <c r="B269" t="s">
        <v>222</v>
      </c>
      <c r="C269" t="s">
        <v>126</v>
      </c>
      <c r="D269" s="6">
        <v>59805000</v>
      </c>
      <c r="E269" t="s">
        <v>100</v>
      </c>
      <c r="F269"/>
      <c r="G269"/>
      <c r="H269" t="s">
        <v>504</v>
      </c>
      <c r="I269"/>
      <c r="J269" s="28">
        <v>54789</v>
      </c>
      <c r="K269" t="s">
        <v>992</v>
      </c>
      <c r="L269" t="s">
        <v>104</v>
      </c>
      <c r="M269"/>
      <c r="N269" t="s">
        <v>505</v>
      </c>
      <c r="O269"/>
      <c r="P269"/>
      <c r="Q269" t="s">
        <v>203</v>
      </c>
      <c r="R269" t="s">
        <v>203</v>
      </c>
      <c r="S269" t="s">
        <v>476</v>
      </c>
      <c r="T269"/>
      <c r="U269" s="2">
        <f>Table1[[#This Row],[Coal Power Plant Size (MW) or Share]]*0.593*9057*211.9*10^(-9)</f>
        <v>0</v>
      </c>
      <c r="V269" s="2">
        <f>Table1[[#This Row],[Annual Emissions (MMTCO2)]]*40</f>
        <v>0</v>
      </c>
      <c r="W269"/>
      <c r="X269"/>
      <c r="Y269"/>
      <c r="Z269" s="1"/>
      <c r="AA269" s="1"/>
    </row>
    <row r="270" spans="1:27" ht="27" hidden="1" customHeight="1">
      <c r="A270" t="s">
        <v>200</v>
      </c>
      <c r="B270" t="s">
        <v>211</v>
      </c>
      <c r="C270" t="s">
        <v>1465</v>
      </c>
      <c r="D270" s="6">
        <f>2000000/0.783</f>
        <v>2554278.4163473817</v>
      </c>
      <c r="E270" t="s">
        <v>100</v>
      </c>
      <c r="F270"/>
      <c r="G270"/>
      <c r="H270" t="s">
        <v>243</v>
      </c>
      <c r="I270"/>
      <c r="J270" s="28">
        <v>41275</v>
      </c>
      <c r="K270" t="s">
        <v>1451</v>
      </c>
      <c r="L270" t="s">
        <v>110</v>
      </c>
      <c r="M270"/>
      <c r="N270" t="s">
        <v>244</v>
      </c>
      <c r="O270"/>
      <c r="P270"/>
      <c r="Q270" t="s">
        <v>54</v>
      </c>
      <c r="R270" t="s">
        <v>58</v>
      </c>
      <c r="S270" t="s">
        <v>703</v>
      </c>
      <c r="T270"/>
      <c r="U270" s="2">
        <f>Table1[[#This Row],[Coal Power Plant Size (MW) or Share]]*0.593*9057*211.9*10^(-9)</f>
        <v>0</v>
      </c>
      <c r="V270" s="2">
        <f>Table1[[#This Row],[Annual Emissions (MMTCO2)]]*40</f>
        <v>0</v>
      </c>
      <c r="W270"/>
      <c r="X270"/>
      <c r="Y270"/>
      <c r="Z270" s="1"/>
      <c r="AA270" s="1"/>
    </row>
    <row r="271" spans="1:27" ht="27" hidden="1" customHeight="1">
      <c r="A271" t="s">
        <v>200</v>
      </c>
      <c r="B271" t="s">
        <v>211</v>
      </c>
      <c r="C271" t="s">
        <v>1465</v>
      </c>
      <c r="D271" s="6">
        <f>30000000/0.783</f>
        <v>38314176.24521073</v>
      </c>
      <c r="E271" t="s">
        <v>100</v>
      </c>
      <c r="F271"/>
      <c r="G271"/>
      <c r="H271" t="s">
        <v>238</v>
      </c>
      <c r="I271"/>
      <c r="J271" s="28">
        <v>41275</v>
      </c>
      <c r="K271" t="s">
        <v>1451</v>
      </c>
      <c r="L271" t="s">
        <v>93</v>
      </c>
      <c r="M271"/>
      <c r="N271" t="s">
        <v>239</v>
      </c>
      <c r="O271"/>
      <c r="P271"/>
      <c r="Q271" t="s">
        <v>54</v>
      </c>
      <c r="R271" t="s">
        <v>58</v>
      </c>
      <c r="S271" t="s">
        <v>703</v>
      </c>
      <c r="T271"/>
      <c r="U271" s="2">
        <f>Table1[[#This Row],[Coal Power Plant Size (MW) or Share]]*0.593*9057*211.9*10^(-9)</f>
        <v>0</v>
      </c>
      <c r="V271" s="2">
        <f>Table1[[#This Row],[Annual Emissions (MMTCO2)]]*40</f>
        <v>0</v>
      </c>
      <c r="W271"/>
      <c r="X271"/>
      <c r="Y271"/>
      <c r="Z271" s="1"/>
      <c r="AA271" s="1"/>
    </row>
    <row r="272" spans="1:27" ht="27" hidden="1" customHeight="1">
      <c r="A272" t="s">
        <v>200</v>
      </c>
      <c r="B272" t="s">
        <v>211</v>
      </c>
      <c r="C272" t="s">
        <v>1465</v>
      </c>
      <c r="D272" s="6">
        <f>300000/0.783</f>
        <v>383141.76245210727</v>
      </c>
      <c r="E272" t="s">
        <v>100</v>
      </c>
      <c r="F272"/>
      <c r="G272"/>
      <c r="H272" t="s">
        <v>245</v>
      </c>
      <c r="I272"/>
      <c r="J272" s="28">
        <v>41275</v>
      </c>
      <c r="K272" t="s">
        <v>992</v>
      </c>
      <c r="L272" t="s">
        <v>205</v>
      </c>
      <c r="M272"/>
      <c r="N272" t="s">
        <v>246</v>
      </c>
      <c r="O272"/>
      <c r="P272"/>
      <c r="Q272" t="s">
        <v>54</v>
      </c>
      <c r="R272" t="s">
        <v>58</v>
      </c>
      <c r="S272" t="s">
        <v>703</v>
      </c>
      <c r="T272"/>
      <c r="U272" s="2">
        <f>Table1[[#This Row],[Coal Power Plant Size (MW) or Share]]*0.593*9057*211.9*10^(-9)</f>
        <v>0</v>
      </c>
      <c r="V272" s="2">
        <f>Table1[[#This Row],[Annual Emissions (MMTCO2)]]*40</f>
        <v>0</v>
      </c>
      <c r="W272"/>
      <c r="X272"/>
      <c r="Y272"/>
      <c r="Z272" s="1"/>
      <c r="AA272" s="1"/>
    </row>
    <row r="273" spans="1:27" ht="27" hidden="1" customHeight="1">
      <c r="A273" t="s">
        <v>200</v>
      </c>
      <c r="B273" t="s">
        <v>211</v>
      </c>
      <c r="C273" t="s">
        <v>1465</v>
      </c>
      <c r="D273" s="6">
        <f>172000000/0.783</f>
        <v>219667943.80587482</v>
      </c>
      <c r="E273" t="s">
        <v>100</v>
      </c>
      <c r="F273"/>
      <c r="G273"/>
      <c r="H273" t="s">
        <v>232</v>
      </c>
      <c r="I273"/>
      <c r="J273" s="28">
        <v>41275</v>
      </c>
      <c r="K273" t="s">
        <v>993</v>
      </c>
      <c r="L273" t="s">
        <v>225</v>
      </c>
      <c r="M273"/>
      <c r="N273" t="s">
        <v>233</v>
      </c>
      <c r="O273"/>
      <c r="P273"/>
      <c r="Q273" t="s">
        <v>54</v>
      </c>
      <c r="R273" t="s">
        <v>58</v>
      </c>
      <c r="S273" t="s">
        <v>703</v>
      </c>
      <c r="T273"/>
      <c r="U273" s="2">
        <f>Table1[[#This Row],[Coal Power Plant Size (MW) or Share]]*0.593*9057*211.9*10^(-9)</f>
        <v>0</v>
      </c>
      <c r="V273" s="2">
        <f>Table1[[#This Row],[Annual Emissions (MMTCO2)]]*40</f>
        <v>0</v>
      </c>
      <c r="W273"/>
      <c r="X273"/>
      <c r="Y273"/>
      <c r="Z273" s="1"/>
      <c r="AA273" s="1"/>
    </row>
    <row r="274" spans="1:27" ht="27" hidden="1" customHeight="1">
      <c r="A274" t="s">
        <v>200</v>
      </c>
      <c r="B274" t="s">
        <v>211</v>
      </c>
      <c r="C274" t="s">
        <v>1465</v>
      </c>
      <c r="D274" s="6">
        <f>839000000/0.937</f>
        <v>895410885.80576301</v>
      </c>
      <c r="E274" t="s">
        <v>100</v>
      </c>
      <c r="F274"/>
      <c r="G274"/>
      <c r="H274" t="s">
        <v>230</v>
      </c>
      <c r="I274"/>
      <c r="J274" s="28">
        <v>41275</v>
      </c>
      <c r="K274" t="s">
        <v>992</v>
      </c>
      <c r="L274" t="s">
        <v>205</v>
      </c>
      <c r="M274"/>
      <c r="N274" t="s">
        <v>231</v>
      </c>
      <c r="O274"/>
      <c r="P274"/>
      <c r="Q274" t="s">
        <v>54</v>
      </c>
      <c r="R274" t="s">
        <v>58</v>
      </c>
      <c r="S274" t="s">
        <v>703</v>
      </c>
      <c r="T274"/>
      <c r="U274" s="2">
        <f>Table1[[#This Row],[Coal Power Plant Size (MW) or Share]]*0.593*9057*211.9*10^(-9)</f>
        <v>0</v>
      </c>
      <c r="V274" s="2">
        <f>Table1[[#This Row],[Annual Emissions (MMTCO2)]]*40</f>
        <v>0</v>
      </c>
      <c r="W274"/>
      <c r="X274"/>
      <c r="Y274"/>
      <c r="Z274" s="1"/>
      <c r="AA274" s="1"/>
    </row>
    <row r="275" spans="1:27" ht="27" hidden="1" customHeight="1">
      <c r="A275" t="s">
        <v>200</v>
      </c>
      <c r="B275" t="s">
        <v>211</v>
      </c>
      <c r="C275" t="s">
        <v>1465</v>
      </c>
      <c r="D275" s="6">
        <f>64000000/0.783</f>
        <v>81736909.323116213</v>
      </c>
      <c r="E275" t="s">
        <v>100</v>
      </c>
      <c r="F275"/>
      <c r="G275"/>
      <c r="H275" t="s">
        <v>234</v>
      </c>
      <c r="I275"/>
      <c r="J275" s="28">
        <v>41275</v>
      </c>
      <c r="K275" t="s">
        <v>989</v>
      </c>
      <c r="L275" t="s">
        <v>26</v>
      </c>
      <c r="M275"/>
      <c r="N275" t="s">
        <v>235</v>
      </c>
      <c r="O275"/>
      <c r="P275"/>
      <c r="Q275" t="s">
        <v>54</v>
      </c>
      <c r="R275" t="s">
        <v>58</v>
      </c>
      <c r="S275" t="s">
        <v>703</v>
      </c>
      <c r="T275"/>
      <c r="U275" s="2">
        <f>Table1[[#This Row],[Coal Power Plant Size (MW) or Share]]*0.593*9057*211.9*10^(-9)</f>
        <v>0</v>
      </c>
      <c r="V275" s="2">
        <f>Table1[[#This Row],[Annual Emissions (MMTCO2)]]*40</f>
        <v>0</v>
      </c>
      <c r="W275"/>
      <c r="X275"/>
      <c r="Y275"/>
      <c r="Z275" s="1"/>
      <c r="AA275" s="1"/>
    </row>
    <row r="276" spans="1:27" ht="27" hidden="1" customHeight="1">
      <c r="A276" t="s">
        <v>200</v>
      </c>
      <c r="B276" t="s">
        <v>211</v>
      </c>
      <c r="C276" t="s">
        <v>1465</v>
      </c>
      <c r="D276" s="6">
        <f>56000000/0.783</f>
        <v>71519795.65772669</v>
      </c>
      <c r="E276" t="s">
        <v>100</v>
      </c>
      <c r="F276"/>
      <c r="G276"/>
      <c r="H276" t="s">
        <v>236</v>
      </c>
      <c r="I276"/>
      <c r="J276" s="28">
        <v>41275</v>
      </c>
      <c r="K276" t="s">
        <v>1451</v>
      </c>
      <c r="L276" t="s">
        <v>93</v>
      </c>
      <c r="M276"/>
      <c r="N276" t="s">
        <v>237</v>
      </c>
      <c r="O276"/>
      <c r="P276"/>
      <c r="Q276" t="s">
        <v>54</v>
      </c>
      <c r="R276" t="s">
        <v>58</v>
      </c>
      <c r="S276" t="s">
        <v>703</v>
      </c>
      <c r="T276"/>
      <c r="U276" s="2">
        <f>Table1[[#This Row],[Coal Power Plant Size (MW) or Share]]*0.593*9057*211.9*10^(-9)</f>
        <v>0</v>
      </c>
      <c r="V276" s="2">
        <f>Table1[[#This Row],[Annual Emissions (MMTCO2)]]*40</f>
        <v>0</v>
      </c>
      <c r="W276"/>
      <c r="X276"/>
      <c r="Y276"/>
      <c r="Z276" s="1"/>
      <c r="AA276" s="1"/>
    </row>
    <row r="277" spans="1:27" ht="27" hidden="1" customHeight="1">
      <c r="A277" t="s">
        <v>200</v>
      </c>
      <c r="B277" t="s">
        <v>211</v>
      </c>
      <c r="C277" t="s">
        <v>1465</v>
      </c>
      <c r="D277" s="6">
        <f>30000000/0.783</f>
        <v>38314176.24521073</v>
      </c>
      <c r="E277" t="s">
        <v>100</v>
      </c>
      <c r="F277"/>
      <c r="G277"/>
      <c r="H277" t="s">
        <v>240</v>
      </c>
      <c r="I277"/>
      <c r="J277" s="28">
        <v>41275</v>
      </c>
      <c r="K277" t="s">
        <v>1451</v>
      </c>
      <c r="L277" t="s">
        <v>110</v>
      </c>
      <c r="M277"/>
      <c r="N277" t="s">
        <v>241</v>
      </c>
      <c r="O277"/>
      <c r="P277"/>
      <c r="Q277" t="s">
        <v>54</v>
      </c>
      <c r="R277" t="s">
        <v>58</v>
      </c>
      <c r="S277" t="s">
        <v>703</v>
      </c>
      <c r="T277"/>
      <c r="U277" s="2">
        <f>Table1[[#This Row],[Coal Power Plant Size (MW) or Share]]*0.593*9057*211.9*10^(-9)</f>
        <v>0</v>
      </c>
      <c r="V277" s="2">
        <f>Table1[[#This Row],[Annual Emissions (MMTCO2)]]*40</f>
        <v>0</v>
      </c>
      <c r="W277"/>
      <c r="X277"/>
      <c r="Y277"/>
      <c r="Z277" s="1"/>
      <c r="AA277" s="1"/>
    </row>
    <row r="278" spans="1:27" ht="27" hidden="1" customHeight="1">
      <c r="A278" t="s">
        <v>200</v>
      </c>
      <c r="B278" t="s">
        <v>222</v>
      </c>
      <c r="C278" t="s">
        <v>126</v>
      </c>
      <c r="D278" s="6">
        <v>31222945.817485899</v>
      </c>
      <c r="E278" t="s">
        <v>100</v>
      </c>
      <c r="F278"/>
      <c r="G278"/>
      <c r="H278" t="s">
        <v>100</v>
      </c>
      <c r="I278"/>
      <c r="J278" s="28">
        <v>41275</v>
      </c>
      <c r="K278" t="s">
        <v>1400</v>
      </c>
      <c r="L278" t="s">
        <v>100</v>
      </c>
      <c r="M278"/>
      <c r="N278" t="s">
        <v>242</v>
      </c>
      <c r="O278"/>
      <c r="P278"/>
      <c r="Q278" t="s">
        <v>54</v>
      </c>
      <c r="R278" t="s">
        <v>58</v>
      </c>
      <c r="S278" t="s">
        <v>703</v>
      </c>
      <c r="T278"/>
      <c r="U278" s="2">
        <f>Table1[[#This Row],[Coal Power Plant Size (MW) or Share]]*0.593*9057*211.9*10^(-9)</f>
        <v>0</v>
      </c>
      <c r="V278" s="2">
        <f>Table1[[#This Row],[Annual Emissions (MMTCO2)]]*40</f>
        <v>0</v>
      </c>
      <c r="W278"/>
      <c r="X278"/>
      <c r="Y278"/>
      <c r="Z278" s="1"/>
      <c r="AA278" s="1"/>
    </row>
    <row r="279" spans="1:27" ht="27" hidden="1" customHeight="1">
      <c r="A279" t="s">
        <v>200</v>
      </c>
      <c r="B279" t="s">
        <v>211</v>
      </c>
      <c r="C279" t="s">
        <v>1465</v>
      </c>
      <c r="D279" s="6">
        <v>64112499.999999993</v>
      </c>
      <c r="E279" t="s">
        <v>247</v>
      </c>
      <c r="F279"/>
      <c r="G279"/>
      <c r="H279" t="s">
        <v>248</v>
      </c>
      <c r="I279" t="s">
        <v>249</v>
      </c>
      <c r="J279" s="28">
        <v>41334</v>
      </c>
      <c r="K279" t="s">
        <v>1451</v>
      </c>
      <c r="L279" t="s">
        <v>93</v>
      </c>
      <c r="M279"/>
      <c r="N279" t="s">
        <v>250</v>
      </c>
      <c r="O279"/>
      <c r="P279"/>
      <c r="Q279" t="s">
        <v>54</v>
      </c>
      <c r="R279" t="s">
        <v>58</v>
      </c>
      <c r="S279" t="s">
        <v>703</v>
      </c>
      <c r="T279"/>
      <c r="U279" s="2">
        <f>Table1[[#This Row],[Coal Power Plant Size (MW) or Share]]*0.593*9057*211.9*10^(-9)</f>
        <v>0</v>
      </c>
      <c r="V279" s="2">
        <f>Table1[[#This Row],[Annual Emissions (MMTCO2)]]*40</f>
        <v>0</v>
      </c>
      <c r="W279"/>
      <c r="X279"/>
      <c r="Y279"/>
      <c r="Z279" s="1"/>
      <c r="AA279" s="1"/>
    </row>
    <row r="280" spans="1:27" ht="27" hidden="1" customHeight="1">
      <c r="A280" t="s">
        <v>200</v>
      </c>
      <c r="B280" t="s">
        <v>222</v>
      </c>
      <c r="C280" t="s">
        <v>126</v>
      </c>
      <c r="D280" s="6">
        <v>53160000</v>
      </c>
      <c r="E280" t="s">
        <v>100</v>
      </c>
      <c r="F280"/>
      <c r="G280"/>
      <c r="H280" t="s">
        <v>264</v>
      </c>
      <c r="I280"/>
      <c r="J280" s="28">
        <v>41640</v>
      </c>
      <c r="K280" t="s">
        <v>1452</v>
      </c>
      <c r="L280" t="s">
        <v>45</v>
      </c>
      <c r="M280"/>
      <c r="N280" t="s">
        <v>266</v>
      </c>
      <c r="O280"/>
      <c r="P280"/>
      <c r="Q280" t="s">
        <v>54</v>
      </c>
      <c r="R280" t="s">
        <v>265</v>
      </c>
      <c r="S280" t="s">
        <v>703</v>
      </c>
      <c r="T280"/>
      <c r="U280" s="2">
        <f>Table1[[#This Row],[Coal Power Plant Size (MW) or Share]]*0.593*9057*211.9*10^(-9)</f>
        <v>0</v>
      </c>
      <c r="V280" s="2">
        <f>Table1[[#This Row],[Annual Emissions (MMTCO2)]]*40</f>
        <v>0</v>
      </c>
      <c r="W280"/>
      <c r="X280"/>
      <c r="Y280"/>
      <c r="Z280" s="1"/>
      <c r="AA280" s="1"/>
    </row>
    <row r="281" spans="1:27" ht="27" hidden="1" customHeight="1">
      <c r="A281" t="s">
        <v>200</v>
      </c>
      <c r="B281" t="s">
        <v>222</v>
      </c>
      <c r="C281" t="s">
        <v>126</v>
      </c>
      <c r="D281" s="6">
        <v>2392200</v>
      </c>
      <c r="E281" t="s">
        <v>100</v>
      </c>
      <c r="F281"/>
      <c r="G281"/>
      <c r="H281" t="s">
        <v>268</v>
      </c>
      <c r="I281"/>
      <c r="J281" s="28">
        <v>41640</v>
      </c>
      <c r="K281" t="s">
        <v>992</v>
      </c>
      <c r="L281" t="s">
        <v>62</v>
      </c>
      <c r="M281"/>
      <c r="N281" t="s">
        <v>266</v>
      </c>
      <c r="O281"/>
      <c r="P281"/>
      <c r="Q281" t="s">
        <v>54</v>
      </c>
      <c r="R281" t="s">
        <v>265</v>
      </c>
      <c r="S281" t="s">
        <v>703</v>
      </c>
      <c r="T281"/>
      <c r="U281" s="2">
        <f>Table1[[#This Row],[Coal Power Plant Size (MW) or Share]]*0.593*9057*211.9*10^(-9)</f>
        <v>0</v>
      </c>
      <c r="V281" s="2">
        <f>Table1[[#This Row],[Annual Emissions (MMTCO2)]]*40</f>
        <v>0</v>
      </c>
      <c r="W281"/>
      <c r="X281"/>
      <c r="Y281"/>
      <c r="Z281" s="1"/>
      <c r="AA281" s="1"/>
    </row>
    <row r="282" spans="1:27" ht="27" hidden="1" customHeight="1">
      <c r="A282" t="s">
        <v>200</v>
      </c>
      <c r="B282" t="s">
        <v>222</v>
      </c>
      <c r="C282" t="s">
        <v>126</v>
      </c>
      <c r="D282" s="6">
        <v>48375600</v>
      </c>
      <c r="E282" t="s">
        <v>100</v>
      </c>
      <c r="F282"/>
      <c r="G282"/>
      <c r="H282" t="s">
        <v>267</v>
      </c>
      <c r="I282"/>
      <c r="J282" s="28">
        <v>41640</v>
      </c>
      <c r="K282" t="s">
        <v>1452</v>
      </c>
      <c r="L282" t="s">
        <v>45</v>
      </c>
      <c r="M282"/>
      <c r="N282" t="s">
        <v>266</v>
      </c>
      <c r="O282"/>
      <c r="P282"/>
      <c r="Q282" t="s">
        <v>54</v>
      </c>
      <c r="R282" t="s">
        <v>265</v>
      </c>
      <c r="S282" t="s">
        <v>703</v>
      </c>
      <c r="T282"/>
      <c r="U282" s="2">
        <f>Table1[[#This Row],[Coal Power Plant Size (MW) or Share]]*0.593*9057*211.9*10^(-9)</f>
        <v>0</v>
      </c>
      <c r="V282" s="2">
        <f>Table1[[#This Row],[Annual Emissions (MMTCO2)]]*40</f>
        <v>0</v>
      </c>
      <c r="W282"/>
      <c r="X282"/>
      <c r="Y282"/>
      <c r="Z282" s="1"/>
      <c r="AA282" s="1"/>
    </row>
    <row r="283" spans="1:27" ht="27" hidden="1" customHeight="1">
      <c r="A283" t="s">
        <v>200</v>
      </c>
      <c r="B283" t="s">
        <v>218</v>
      </c>
      <c r="C283" t="s">
        <v>126</v>
      </c>
      <c r="D283" s="6"/>
      <c r="E283" t="s">
        <v>274</v>
      </c>
      <c r="F283"/>
      <c r="G283"/>
      <c r="H283" t="s">
        <v>278</v>
      </c>
      <c r="I283" t="s">
        <v>279</v>
      </c>
      <c r="J283" s="28">
        <v>41671</v>
      </c>
      <c r="K283" t="s">
        <v>989</v>
      </c>
      <c r="L283" t="s">
        <v>26</v>
      </c>
      <c r="M283"/>
      <c r="N283" t="s">
        <v>280</v>
      </c>
      <c r="O283"/>
      <c r="P283"/>
      <c r="Q283" t="s">
        <v>54</v>
      </c>
      <c r="R283" t="s">
        <v>226</v>
      </c>
      <c r="S283" t="s">
        <v>703</v>
      </c>
      <c r="T283"/>
      <c r="U283" s="2">
        <f>Table1[[#This Row],[Coal Power Plant Size (MW) or Share]]*0.593*9057*211.9*10^(-9)</f>
        <v>0</v>
      </c>
      <c r="V283" s="2">
        <f>Table1[[#This Row],[Annual Emissions (MMTCO2)]]*40</f>
        <v>0</v>
      </c>
      <c r="W283"/>
      <c r="X283"/>
      <c r="Y283"/>
      <c r="Z283" s="1"/>
      <c r="AA283" s="1"/>
    </row>
    <row r="284" spans="1:27" ht="27" hidden="1" customHeight="1">
      <c r="A284" t="s">
        <v>200</v>
      </c>
      <c r="B284" t="s">
        <v>92</v>
      </c>
      <c r="C284" t="s">
        <v>14</v>
      </c>
      <c r="D284" s="6">
        <v>18425663.35256977</v>
      </c>
      <c r="E284" t="s">
        <v>102</v>
      </c>
      <c r="F284"/>
      <c r="G284"/>
      <c r="H284" t="s">
        <v>103</v>
      </c>
      <c r="I284" t="s">
        <v>84</v>
      </c>
      <c r="J284" s="28">
        <v>42278</v>
      </c>
      <c r="K284" t="s">
        <v>992</v>
      </c>
      <c r="L284" t="s">
        <v>104</v>
      </c>
      <c r="M284"/>
      <c r="N284" t="s">
        <v>105</v>
      </c>
      <c r="O284" t="s">
        <v>106</v>
      </c>
      <c r="P284"/>
      <c r="Q284" t="s">
        <v>54</v>
      </c>
      <c r="R284" t="s">
        <v>55</v>
      </c>
      <c r="S284" t="s">
        <v>646</v>
      </c>
      <c r="T284"/>
      <c r="U284" s="2">
        <f>Table1[[#This Row],[Coal Power Plant Size (MW) or Share]]*0.593*9057*211.9*10^(-9)</f>
        <v>0</v>
      </c>
      <c r="V284" s="2">
        <f>Table1[[#This Row],[Annual Emissions (MMTCO2)]]*40</f>
        <v>0</v>
      </c>
      <c r="W284"/>
      <c r="X284"/>
      <c r="Y284"/>
      <c r="Z284" s="1"/>
      <c r="AA284" s="1"/>
    </row>
    <row r="285" spans="1:27" ht="27" hidden="1" customHeight="1">
      <c r="A285" t="s">
        <v>200</v>
      </c>
      <c r="B285" t="s">
        <v>28</v>
      </c>
      <c r="C285" t="s">
        <v>14</v>
      </c>
      <c r="D285" s="6">
        <v>46233811.505013749</v>
      </c>
      <c r="E285" t="s">
        <v>30</v>
      </c>
      <c r="F285"/>
      <c r="G285"/>
      <c r="H285" t="s">
        <v>52</v>
      </c>
      <c r="I285" t="s">
        <v>53</v>
      </c>
      <c r="J285" s="28">
        <v>42359</v>
      </c>
      <c r="K285" t="s">
        <v>1482</v>
      </c>
      <c r="L285" t="s">
        <v>31</v>
      </c>
      <c r="M285"/>
      <c r="N285" t="s">
        <v>56</v>
      </c>
      <c r="O285" t="s">
        <v>57</v>
      </c>
      <c r="P285"/>
      <c r="Q285" t="s">
        <v>54</v>
      </c>
      <c r="R285" t="s">
        <v>55</v>
      </c>
      <c r="S285" t="s">
        <v>703</v>
      </c>
      <c r="T285"/>
      <c r="U285" s="2">
        <f>Table1[[#This Row],[Coal Power Plant Size (MW) or Share]]*0.593*9057*211.9*10^(-9)</f>
        <v>0</v>
      </c>
      <c r="V285" s="2">
        <f>Table1[[#This Row],[Annual Emissions (MMTCO2)]]*40</f>
        <v>0</v>
      </c>
      <c r="W285"/>
      <c r="X285"/>
      <c r="Y285"/>
      <c r="Z285" s="1"/>
      <c r="AA285" s="1"/>
    </row>
    <row r="286" spans="1:27" ht="27" hidden="1" customHeight="1">
      <c r="A286" t="s">
        <v>200</v>
      </c>
      <c r="B286" t="s">
        <v>222</v>
      </c>
      <c r="C286" t="s">
        <v>126</v>
      </c>
      <c r="D286" s="6">
        <v>5316000</v>
      </c>
      <c r="E286" t="s">
        <v>100</v>
      </c>
      <c r="F286"/>
      <c r="G286"/>
      <c r="H286" t="s">
        <v>268</v>
      </c>
      <c r="I286" t="s">
        <v>826</v>
      </c>
      <c r="J286" s="28">
        <v>54789</v>
      </c>
      <c r="K286" t="s">
        <v>992</v>
      </c>
      <c r="L286" t="s">
        <v>62</v>
      </c>
      <c r="M286"/>
      <c r="N286" t="s">
        <v>503</v>
      </c>
      <c r="O286"/>
      <c r="P286"/>
      <c r="Q286" t="s">
        <v>54</v>
      </c>
      <c r="R286" t="s">
        <v>502</v>
      </c>
      <c r="S286" t="s">
        <v>476</v>
      </c>
      <c r="T286"/>
      <c r="U286" s="2">
        <f>Table1[[#This Row],[Coal Power Plant Size (MW) or Share]]*0.593*9057*211.9*10^(-9)</f>
        <v>0</v>
      </c>
      <c r="V286" s="2">
        <f>Table1[[#This Row],[Annual Emissions (MMTCO2)]]*40</f>
        <v>0</v>
      </c>
      <c r="W286"/>
      <c r="X286"/>
      <c r="Y286"/>
      <c r="Z286" s="1"/>
      <c r="AA286" s="1"/>
    </row>
    <row r="287" spans="1:27" ht="27" hidden="1" customHeight="1">
      <c r="A287" t="s">
        <v>200</v>
      </c>
      <c r="B287" t="s">
        <v>222</v>
      </c>
      <c r="C287" t="s">
        <v>126</v>
      </c>
      <c r="D287" s="6">
        <v>75753000</v>
      </c>
      <c r="E287" t="s">
        <v>100</v>
      </c>
      <c r="F287"/>
      <c r="G287"/>
      <c r="H287" t="s">
        <v>501</v>
      </c>
      <c r="I287" t="s">
        <v>826</v>
      </c>
      <c r="J287" s="28">
        <v>54789</v>
      </c>
      <c r="K287" t="s">
        <v>992</v>
      </c>
      <c r="L287" t="s">
        <v>221</v>
      </c>
      <c r="M287"/>
      <c r="N287" t="s">
        <v>503</v>
      </c>
      <c r="O287"/>
      <c r="P287"/>
      <c r="Q287" t="s">
        <v>54</v>
      </c>
      <c r="R287" t="s">
        <v>502</v>
      </c>
      <c r="S287" t="s">
        <v>476</v>
      </c>
      <c r="T287">
        <v>0</v>
      </c>
      <c r="U287" s="2">
        <f>Table1[[#This Row],[Coal Power Plant Size (MW) or Share]]*0.593*9057*211.9*10^(-9)</f>
        <v>0</v>
      </c>
      <c r="V287" s="2">
        <f>Table1[[#This Row],[Annual Emissions (MMTCO2)]]*40</f>
        <v>0</v>
      </c>
      <c r="W287"/>
      <c r="X287"/>
      <c r="Y287"/>
      <c r="Z287" s="1"/>
      <c r="AA287" s="1"/>
    </row>
    <row r="288" spans="1:27" ht="27" hidden="1" customHeight="1">
      <c r="A288" t="s">
        <v>200</v>
      </c>
      <c r="B288" t="s">
        <v>1740</v>
      </c>
      <c r="C288" t="s">
        <v>126</v>
      </c>
      <c r="D288" s="6">
        <v>16670000.000000002</v>
      </c>
      <c r="E288"/>
      <c r="F288"/>
      <c r="G288"/>
      <c r="H288" t="s">
        <v>1641</v>
      </c>
      <c r="I288" t="s">
        <v>1775</v>
      </c>
      <c r="J288" s="28">
        <v>41344</v>
      </c>
      <c r="K288" t="s">
        <v>990</v>
      </c>
      <c r="L288" t="s">
        <v>1466</v>
      </c>
      <c r="M288"/>
      <c r="N288"/>
      <c r="O288"/>
      <c r="P288"/>
      <c r="Q288" t="s">
        <v>634</v>
      </c>
      <c r="R288" t="s">
        <v>636</v>
      </c>
      <c r="S288" t="s">
        <v>703</v>
      </c>
      <c r="T288">
        <v>50</v>
      </c>
      <c r="U288" s="2">
        <f>Table1[[#This Row],[Coal Power Plant Size (MW) or Share]]*0.593*9057*211.9*10^(-9)</f>
        <v>5.6903636595000001E-2</v>
      </c>
      <c r="V288" s="2">
        <f>Table1[[#This Row],[Annual Emissions (MMTCO2)]]*40</f>
        <v>2.2761454637999998</v>
      </c>
      <c r="W288"/>
      <c r="X288">
        <v>50</v>
      </c>
      <c r="Y288"/>
      <c r="Z288" s="1"/>
      <c r="AA288" s="1"/>
    </row>
    <row r="289" spans="1:27" ht="27" hidden="1" customHeight="1">
      <c r="A289" t="s">
        <v>200</v>
      </c>
      <c r="B289" t="s">
        <v>222</v>
      </c>
      <c r="C289" t="s">
        <v>126</v>
      </c>
      <c r="D289" s="6">
        <v>19930000</v>
      </c>
      <c r="E289"/>
      <c r="F289"/>
      <c r="G289"/>
      <c r="H289" t="s">
        <v>1612</v>
      </c>
      <c r="I289" t="s">
        <v>1776</v>
      </c>
      <c r="J289" s="28">
        <v>41368</v>
      </c>
      <c r="K289" t="s">
        <v>992</v>
      </c>
      <c r="L289" t="s">
        <v>392</v>
      </c>
      <c r="M289" t="s">
        <v>1508</v>
      </c>
      <c r="N289"/>
      <c r="O289"/>
      <c r="P289"/>
      <c r="Q289" t="s">
        <v>634</v>
      </c>
      <c r="R289" t="s">
        <v>636</v>
      </c>
      <c r="S289" t="s">
        <v>703</v>
      </c>
      <c r="T289">
        <f>117.3/4</f>
        <v>29.324999999999999</v>
      </c>
      <c r="U289" s="2">
        <f>Table1[[#This Row],[Coal Power Plant Size (MW) or Share]]*0.593*9057*211.9*10^(-9)</f>
        <v>3.3373982862967499E-2</v>
      </c>
      <c r="V289" s="2">
        <f>Table1[[#This Row],[Annual Emissions (MMTCO2)]]*40</f>
        <v>1.3349593145187</v>
      </c>
      <c r="W289"/>
      <c r="X289">
        <f>117.3/4</f>
        <v>29.324999999999999</v>
      </c>
      <c r="Y289"/>
      <c r="Z289" s="1"/>
      <c r="AA289" s="1"/>
    </row>
    <row r="290" spans="1:27" ht="27" hidden="1" customHeight="1">
      <c r="A290" t="s">
        <v>200</v>
      </c>
      <c r="B290" t="s">
        <v>222</v>
      </c>
      <c r="C290" t="s">
        <v>126</v>
      </c>
      <c r="D290" s="6">
        <v>3530000</v>
      </c>
      <c r="E290"/>
      <c r="F290"/>
      <c r="G290"/>
      <c r="H290" t="s">
        <v>1612</v>
      </c>
      <c r="I290" t="s">
        <v>1776</v>
      </c>
      <c r="J290" s="28">
        <v>41368</v>
      </c>
      <c r="K290" t="s">
        <v>992</v>
      </c>
      <c r="L290" t="s">
        <v>392</v>
      </c>
      <c r="M290" t="s">
        <v>1508</v>
      </c>
      <c r="N290"/>
      <c r="O290"/>
      <c r="P290"/>
      <c r="Q290" t="s">
        <v>634</v>
      </c>
      <c r="R290" t="s">
        <v>636</v>
      </c>
      <c r="S290" t="s">
        <v>703</v>
      </c>
      <c r="T290">
        <f>117.3/4</f>
        <v>29.324999999999999</v>
      </c>
      <c r="U290" s="2">
        <f>Table1[[#This Row],[Coal Power Plant Size (MW) or Share]]*0.593*9057*211.9*10^(-9)</f>
        <v>3.3373982862967499E-2</v>
      </c>
      <c r="V290" s="2">
        <f>Table1[[#This Row],[Annual Emissions (MMTCO2)]]*40</f>
        <v>1.3349593145187</v>
      </c>
      <c r="W290"/>
      <c r="X290">
        <f>117.3/4</f>
        <v>29.324999999999999</v>
      </c>
      <c r="Y290"/>
      <c r="Z290" s="1"/>
      <c r="AA290" s="1"/>
    </row>
    <row r="291" spans="1:27" ht="27" hidden="1" customHeight="1">
      <c r="A291" t="s">
        <v>200</v>
      </c>
      <c r="B291" t="s">
        <v>222</v>
      </c>
      <c r="C291" t="s">
        <v>126</v>
      </c>
      <c r="D291" s="6">
        <v>6490000</v>
      </c>
      <c r="E291"/>
      <c r="F291"/>
      <c r="G291"/>
      <c r="H291" t="s">
        <v>1612</v>
      </c>
      <c r="I291" t="s">
        <v>1776</v>
      </c>
      <c r="J291" s="28">
        <v>41368</v>
      </c>
      <c r="K291" t="s">
        <v>992</v>
      </c>
      <c r="L291" t="s">
        <v>392</v>
      </c>
      <c r="M291" t="s">
        <v>1508</v>
      </c>
      <c r="N291"/>
      <c r="O291"/>
      <c r="P291"/>
      <c r="Q291" t="s">
        <v>634</v>
      </c>
      <c r="R291" t="s">
        <v>636</v>
      </c>
      <c r="S291" t="s">
        <v>703</v>
      </c>
      <c r="T291">
        <f>117.3/4</f>
        <v>29.324999999999999</v>
      </c>
      <c r="U291" s="2">
        <f>Table1[[#This Row],[Coal Power Plant Size (MW) or Share]]*0.593*9057*211.9*10^(-9)</f>
        <v>3.3373982862967499E-2</v>
      </c>
      <c r="V291" s="2">
        <f>Table1[[#This Row],[Annual Emissions (MMTCO2)]]*40</f>
        <v>1.3349593145187</v>
      </c>
      <c r="W291"/>
      <c r="X291">
        <f>117.3/4</f>
        <v>29.324999999999999</v>
      </c>
      <c r="Y291"/>
      <c r="Z291" s="1"/>
      <c r="AA291" s="1"/>
    </row>
    <row r="292" spans="1:27" ht="27" hidden="1" customHeight="1">
      <c r="A292" t="s">
        <v>200</v>
      </c>
      <c r="B292" t="s">
        <v>222</v>
      </c>
      <c r="C292" t="s">
        <v>126</v>
      </c>
      <c r="D292" s="6">
        <v>14540000</v>
      </c>
      <c r="E292"/>
      <c r="F292"/>
      <c r="G292"/>
      <c r="H292" t="s">
        <v>1612</v>
      </c>
      <c r="I292" t="s">
        <v>1776</v>
      </c>
      <c r="J292" s="28">
        <v>41368</v>
      </c>
      <c r="K292" t="s">
        <v>992</v>
      </c>
      <c r="L292" t="s">
        <v>392</v>
      </c>
      <c r="M292" t="s">
        <v>1508</v>
      </c>
      <c r="N292"/>
      <c r="O292"/>
      <c r="P292"/>
      <c r="Q292" t="s">
        <v>634</v>
      </c>
      <c r="R292" t="s">
        <v>636</v>
      </c>
      <c r="S292" t="s">
        <v>703</v>
      </c>
      <c r="T292">
        <f>117.3/4</f>
        <v>29.324999999999999</v>
      </c>
      <c r="U292" s="2">
        <f>Table1[[#This Row],[Coal Power Plant Size (MW) or Share]]*0.593*9057*211.9*10^(-9)</f>
        <v>3.3373982862967499E-2</v>
      </c>
      <c r="V292" s="2">
        <f>Table1[[#This Row],[Annual Emissions (MMTCO2)]]*40</f>
        <v>1.3349593145187</v>
      </c>
      <c r="W292"/>
      <c r="X292">
        <f>117.3/4</f>
        <v>29.324999999999999</v>
      </c>
      <c r="Y292"/>
      <c r="Z292" s="1"/>
      <c r="AA292" s="1"/>
    </row>
    <row r="293" spans="1:27" ht="27" hidden="1" customHeight="1">
      <c r="A293" t="s">
        <v>200</v>
      </c>
      <c r="B293" t="s">
        <v>1740</v>
      </c>
      <c r="C293" t="s">
        <v>126</v>
      </c>
      <c r="D293" s="6">
        <v>11720000</v>
      </c>
      <c r="E293"/>
      <c r="F293"/>
      <c r="G293"/>
      <c r="H293" t="s">
        <v>1467</v>
      </c>
      <c r="I293" t="s">
        <v>1777</v>
      </c>
      <c r="J293" s="28">
        <v>41388</v>
      </c>
      <c r="K293" t="s">
        <v>990</v>
      </c>
      <c r="L293" t="s">
        <v>1466</v>
      </c>
      <c r="M293"/>
      <c r="N293"/>
      <c r="O293"/>
      <c r="P293"/>
      <c r="Q293" t="s">
        <v>634</v>
      </c>
      <c r="R293" t="s">
        <v>636</v>
      </c>
      <c r="S293" t="s">
        <v>703</v>
      </c>
      <c r="T293">
        <v>88</v>
      </c>
      <c r="U293" s="2">
        <f>Table1[[#This Row],[Coal Power Plant Size (MW) or Share]]*0.593*9057*211.9*10^(-9)</f>
        <v>0.1001504004072</v>
      </c>
      <c r="V293" s="2">
        <f>Table1[[#This Row],[Annual Emissions (MMTCO2)]]*40</f>
        <v>4.0060160162880001</v>
      </c>
      <c r="W293"/>
      <c r="X293">
        <v>88</v>
      </c>
      <c r="Y293"/>
      <c r="Z293" s="1"/>
      <c r="AA293" s="1"/>
    </row>
    <row r="294" spans="1:27" ht="27" hidden="1" customHeight="1">
      <c r="A294" t="s">
        <v>200</v>
      </c>
      <c r="B294" t="s">
        <v>222</v>
      </c>
      <c r="C294" t="s">
        <v>126</v>
      </c>
      <c r="D294" s="6">
        <v>122750000</v>
      </c>
      <c r="E294"/>
      <c r="F294"/>
      <c r="G294"/>
      <c r="H294" t="s">
        <v>1709</v>
      </c>
      <c r="I294" t="s">
        <v>1778</v>
      </c>
      <c r="J294" s="28">
        <v>41435</v>
      </c>
      <c r="K294" t="s">
        <v>1450</v>
      </c>
      <c r="L294" t="s">
        <v>123</v>
      </c>
      <c r="M294" t="s">
        <v>1664</v>
      </c>
      <c r="N294"/>
      <c r="O294"/>
      <c r="P294"/>
      <c r="Q294" t="s">
        <v>634</v>
      </c>
      <c r="R294" t="s">
        <v>636</v>
      </c>
      <c r="S294" t="s">
        <v>703</v>
      </c>
      <c r="T294">
        <v>101</v>
      </c>
      <c r="U294" s="2">
        <f>Table1[[#This Row],[Coal Power Plant Size (MW) or Share]]*0.593*9057*211.9*10^(-9)</f>
        <v>0.11494534592189999</v>
      </c>
      <c r="V294" s="2">
        <f>Table1[[#This Row],[Annual Emissions (MMTCO2)]]*40</f>
        <v>4.597813836876</v>
      </c>
      <c r="W294"/>
      <c r="X294">
        <v>101</v>
      </c>
      <c r="Y294"/>
      <c r="Z294" s="1"/>
      <c r="AA294" s="1"/>
    </row>
    <row r="295" spans="1:27" ht="27" hidden="1" customHeight="1">
      <c r="A295" t="s">
        <v>200</v>
      </c>
      <c r="B295" t="s">
        <v>222</v>
      </c>
      <c r="C295" t="s">
        <v>126</v>
      </c>
      <c r="D295" s="6">
        <v>136000000</v>
      </c>
      <c r="E295"/>
      <c r="F295"/>
      <c r="G295"/>
      <c r="H295" t="s">
        <v>1611</v>
      </c>
      <c r="I295" t="s">
        <v>1766</v>
      </c>
      <c r="J295" s="28">
        <v>41455</v>
      </c>
      <c r="K295" t="s">
        <v>993</v>
      </c>
      <c r="L295" t="s">
        <v>166</v>
      </c>
      <c r="M295"/>
      <c r="N295"/>
      <c r="O295"/>
      <c r="P295"/>
      <c r="Q295" t="s">
        <v>634</v>
      </c>
      <c r="R295" t="s">
        <v>1473</v>
      </c>
      <c r="S295" t="s">
        <v>703</v>
      </c>
      <c r="T295">
        <f>160/6</f>
        <v>26.666666666666668</v>
      </c>
      <c r="U295" s="2">
        <f>Table1[[#This Row],[Coal Power Plant Size (MW) or Share]]*0.593*9057*211.9*10^(-9)</f>
        <v>3.0348606183999999E-2</v>
      </c>
      <c r="V295" s="2">
        <f>Table1[[#This Row],[Annual Emissions (MMTCO2)]]*40</f>
        <v>1.21394424736</v>
      </c>
      <c r="W295"/>
      <c r="X295">
        <f>160/6</f>
        <v>26.666666666666668</v>
      </c>
      <c r="Y295"/>
      <c r="Z295" s="1"/>
      <c r="AA295" s="1"/>
    </row>
    <row r="296" spans="1:27" ht="27" hidden="1" customHeight="1">
      <c r="A296" t="s">
        <v>200</v>
      </c>
      <c r="B296" t="s">
        <v>222</v>
      </c>
      <c r="C296" t="s">
        <v>126</v>
      </c>
      <c r="D296" s="6">
        <v>56050000</v>
      </c>
      <c r="E296"/>
      <c r="F296"/>
      <c r="G296"/>
      <c r="H296" t="s">
        <v>1671</v>
      </c>
      <c r="I296" t="s">
        <v>1791</v>
      </c>
      <c r="J296" s="28">
        <v>41486</v>
      </c>
      <c r="K296" t="s">
        <v>992</v>
      </c>
      <c r="L296" t="s">
        <v>1672</v>
      </c>
      <c r="M296"/>
      <c r="N296"/>
      <c r="O296"/>
      <c r="P296"/>
      <c r="Q296" t="s">
        <v>634</v>
      </c>
      <c r="R296" t="s">
        <v>636</v>
      </c>
      <c r="S296" t="s">
        <v>703</v>
      </c>
      <c r="T296">
        <v>84.6</v>
      </c>
      <c r="U296" s="2">
        <f>Table1[[#This Row],[Coal Power Plant Size (MW) or Share]]*0.593*9057*211.9*10^(-9)</f>
        <v>9.6280953118739993E-2</v>
      </c>
      <c r="V296" s="2">
        <f>Table1[[#This Row],[Annual Emissions (MMTCO2)]]*40</f>
        <v>3.8512381247495995</v>
      </c>
      <c r="W296"/>
      <c r="X296">
        <v>84.6</v>
      </c>
      <c r="Y296"/>
      <c r="Z296" s="1"/>
      <c r="AA296" s="1"/>
    </row>
    <row r="297" spans="1:27" ht="27" hidden="1" customHeight="1">
      <c r="A297" t="s">
        <v>200</v>
      </c>
      <c r="B297" t="s">
        <v>222</v>
      </c>
      <c r="C297" t="s">
        <v>126</v>
      </c>
      <c r="D297" s="6">
        <v>56900000</v>
      </c>
      <c r="E297"/>
      <c r="F297"/>
      <c r="G297"/>
      <c r="H297" t="s">
        <v>1710</v>
      </c>
      <c r="I297" t="s">
        <v>1787</v>
      </c>
      <c r="J297" s="28">
        <v>41493</v>
      </c>
      <c r="K297" t="s">
        <v>1450</v>
      </c>
      <c r="L297" t="s">
        <v>123</v>
      </c>
      <c r="M297" t="s">
        <v>1664</v>
      </c>
      <c r="N297"/>
      <c r="O297"/>
      <c r="P297"/>
      <c r="Q297" t="s">
        <v>634</v>
      </c>
      <c r="R297" t="s">
        <v>636</v>
      </c>
      <c r="S297" t="s">
        <v>703</v>
      </c>
      <c r="T297">
        <v>25</v>
      </c>
      <c r="U297" s="2">
        <f>Table1[[#This Row],[Coal Power Plant Size (MW) or Share]]*0.593*9057*211.9*10^(-9)</f>
        <v>2.8451818297500001E-2</v>
      </c>
      <c r="V297" s="2">
        <f>Table1[[#This Row],[Annual Emissions (MMTCO2)]]*40</f>
        <v>1.1380727318999999</v>
      </c>
      <c r="W297"/>
      <c r="X297">
        <v>25</v>
      </c>
      <c r="Y297"/>
      <c r="Z297" s="1"/>
      <c r="AA297" s="1"/>
    </row>
    <row r="298" spans="1:27" ht="27" hidden="1" customHeight="1">
      <c r="A298" t="s">
        <v>200</v>
      </c>
      <c r="B298" t="s">
        <v>222</v>
      </c>
      <c r="C298" t="s">
        <v>126</v>
      </c>
      <c r="D298" s="6">
        <v>79500000</v>
      </c>
      <c r="E298"/>
      <c r="F298"/>
      <c r="G298"/>
      <c r="H298" t="s">
        <v>1543</v>
      </c>
      <c r="I298" t="s">
        <v>1788</v>
      </c>
      <c r="J298" s="28">
        <v>41498</v>
      </c>
      <c r="K298" t="s">
        <v>990</v>
      </c>
      <c r="L298" t="s">
        <v>1466</v>
      </c>
      <c r="M298"/>
      <c r="N298"/>
      <c r="O298"/>
      <c r="P298"/>
      <c r="Q298" t="s">
        <v>634</v>
      </c>
      <c r="R298" t="s">
        <v>636</v>
      </c>
      <c r="S298" t="s">
        <v>703</v>
      </c>
      <c r="T298">
        <v>42</v>
      </c>
      <c r="U298" s="2">
        <f>Table1[[#This Row],[Coal Power Plant Size (MW) or Share]]*0.593*9057*211.9*10^(-9)</f>
        <v>4.77990547398E-2</v>
      </c>
      <c r="V298" s="2">
        <f>Table1[[#This Row],[Annual Emissions (MMTCO2)]]*40</f>
        <v>1.911962189592</v>
      </c>
      <c r="W298"/>
      <c r="X298">
        <v>42</v>
      </c>
      <c r="Y298"/>
      <c r="Z298" s="1"/>
      <c r="AA298" s="1"/>
    </row>
    <row r="299" spans="1:27" ht="27" hidden="1" customHeight="1">
      <c r="A299" t="s">
        <v>200</v>
      </c>
      <c r="B299" t="s">
        <v>222</v>
      </c>
      <c r="C299" t="s">
        <v>126</v>
      </c>
      <c r="D299" s="6">
        <v>52900000</v>
      </c>
      <c r="E299"/>
      <c r="F299"/>
      <c r="G299"/>
      <c r="H299" t="s">
        <v>1663</v>
      </c>
      <c r="I299" t="s">
        <v>1795</v>
      </c>
      <c r="J299" s="28">
        <v>41576</v>
      </c>
      <c r="K299" t="s">
        <v>1450</v>
      </c>
      <c r="L299" t="s">
        <v>123</v>
      </c>
      <c r="M299" t="s">
        <v>1664</v>
      </c>
      <c r="N299"/>
      <c r="O299"/>
      <c r="P299"/>
      <c r="Q299" t="s">
        <v>634</v>
      </c>
      <c r="R299" t="s">
        <v>636</v>
      </c>
      <c r="S299" t="s">
        <v>703</v>
      </c>
      <c r="T299">
        <v>68</v>
      </c>
      <c r="U299" s="2">
        <f>Table1[[#This Row],[Coal Power Plant Size (MW) or Share]]*0.593*9057*211.9*10^(-9)</f>
        <v>7.7388945769199996E-2</v>
      </c>
      <c r="V299" s="2">
        <f>Table1[[#This Row],[Annual Emissions (MMTCO2)]]*40</f>
        <v>3.0955578307679996</v>
      </c>
      <c r="W299"/>
      <c r="X299">
        <v>68</v>
      </c>
      <c r="Y299"/>
      <c r="Z299" s="1"/>
      <c r="AA299" s="1"/>
    </row>
    <row r="300" spans="1:27" ht="27" hidden="1" customHeight="1">
      <c r="A300" t="s">
        <v>200</v>
      </c>
      <c r="B300" t="s">
        <v>1740</v>
      </c>
      <c r="C300" t="s">
        <v>126</v>
      </c>
      <c r="D300" s="6">
        <v>18500000</v>
      </c>
      <c r="E300"/>
      <c r="F300"/>
      <c r="G300"/>
      <c r="H300" t="s">
        <v>1578</v>
      </c>
      <c r="I300" t="s">
        <v>1786</v>
      </c>
      <c r="J300" s="28">
        <v>41584</v>
      </c>
      <c r="K300" t="s">
        <v>990</v>
      </c>
      <c r="L300" t="s">
        <v>20</v>
      </c>
      <c r="M300"/>
      <c r="N300"/>
      <c r="O300"/>
      <c r="P300"/>
      <c r="Q300" t="s">
        <v>634</v>
      </c>
      <c r="R300" t="s">
        <v>635</v>
      </c>
      <c r="S300" t="s">
        <v>703</v>
      </c>
      <c r="T300">
        <f>29.1/3</f>
        <v>9.7000000000000011</v>
      </c>
      <c r="U300" s="2">
        <f>Table1[[#This Row],[Coal Power Plant Size (MW) or Share]]*0.593*9057*211.9*10^(-9)</f>
        <v>1.1039305499430002E-2</v>
      </c>
      <c r="V300" s="2">
        <f>Table1[[#This Row],[Annual Emissions (MMTCO2)]]*40</f>
        <v>0.44157221997720009</v>
      </c>
      <c r="W300"/>
      <c r="X300">
        <f>29.1/3</f>
        <v>9.7000000000000011</v>
      </c>
      <c r="Y300"/>
      <c r="Z300" s="1"/>
      <c r="AA300" s="1"/>
    </row>
    <row r="301" spans="1:27" ht="27" hidden="1" customHeight="1">
      <c r="A301" t="s">
        <v>200</v>
      </c>
      <c r="B301" t="s">
        <v>222</v>
      </c>
      <c r="C301" t="s">
        <v>126</v>
      </c>
      <c r="D301" s="6">
        <v>21000000</v>
      </c>
      <c r="E301"/>
      <c r="F301"/>
      <c r="G301"/>
      <c r="H301" t="s">
        <v>1685</v>
      </c>
      <c r="I301" t="s">
        <v>1806</v>
      </c>
      <c r="J301" s="28">
        <v>41614</v>
      </c>
      <c r="K301" t="s">
        <v>992</v>
      </c>
      <c r="L301" t="s">
        <v>392</v>
      </c>
      <c r="M301" t="s">
        <v>1554</v>
      </c>
      <c r="N301"/>
      <c r="O301"/>
      <c r="P301"/>
      <c r="Q301" t="s">
        <v>634</v>
      </c>
      <c r="R301" t="s">
        <v>636</v>
      </c>
      <c r="S301" t="s">
        <v>703</v>
      </c>
      <c r="T301">
        <f>12/4</f>
        <v>3</v>
      </c>
      <c r="U301" s="2">
        <f>Table1[[#This Row],[Coal Power Plant Size (MW) or Share]]*0.593*9057*211.9*10^(-9)</f>
        <v>3.4142181956999997E-3</v>
      </c>
      <c r="V301" s="2">
        <f>Table1[[#This Row],[Annual Emissions (MMTCO2)]]*40</f>
        <v>0.136568727828</v>
      </c>
      <c r="W301"/>
      <c r="X301">
        <f>12/4</f>
        <v>3</v>
      </c>
      <c r="Y301"/>
      <c r="Z301" s="1"/>
      <c r="AA301" s="1"/>
    </row>
    <row r="302" spans="1:27" ht="27" hidden="1" customHeight="1">
      <c r="A302" t="s">
        <v>200</v>
      </c>
      <c r="B302" t="s">
        <v>222</v>
      </c>
      <c r="C302" t="s">
        <v>126</v>
      </c>
      <c r="D302" s="6">
        <v>680000</v>
      </c>
      <c r="E302"/>
      <c r="F302"/>
      <c r="G302"/>
      <c r="H302" t="s">
        <v>1685</v>
      </c>
      <c r="I302" t="s">
        <v>1806</v>
      </c>
      <c r="J302" s="28">
        <v>41614</v>
      </c>
      <c r="K302" t="s">
        <v>992</v>
      </c>
      <c r="L302" t="s">
        <v>392</v>
      </c>
      <c r="M302" t="s">
        <v>1554</v>
      </c>
      <c r="N302"/>
      <c r="O302"/>
      <c r="P302"/>
      <c r="Q302" t="s">
        <v>634</v>
      </c>
      <c r="R302" t="s">
        <v>636</v>
      </c>
      <c r="S302" t="s">
        <v>703</v>
      </c>
      <c r="T302">
        <f>12/4</f>
        <v>3</v>
      </c>
      <c r="U302" s="2">
        <f>Table1[[#This Row],[Coal Power Plant Size (MW) or Share]]*0.593*9057*211.9*10^(-9)</f>
        <v>3.4142181956999997E-3</v>
      </c>
      <c r="V302" s="2">
        <f>Table1[[#This Row],[Annual Emissions (MMTCO2)]]*40</f>
        <v>0.136568727828</v>
      </c>
      <c r="W302"/>
      <c r="X302">
        <f>12/4</f>
        <v>3</v>
      </c>
      <c r="Y302"/>
      <c r="Z302" s="1"/>
      <c r="AA302" s="1"/>
    </row>
    <row r="303" spans="1:27" ht="27" hidden="1" customHeight="1">
      <c r="A303" t="s">
        <v>200</v>
      </c>
      <c r="B303" t="s">
        <v>222</v>
      </c>
      <c r="C303" t="s">
        <v>126</v>
      </c>
      <c r="D303" s="6">
        <v>23820000</v>
      </c>
      <c r="E303"/>
      <c r="F303"/>
      <c r="G303"/>
      <c r="H303" t="s">
        <v>1685</v>
      </c>
      <c r="I303" t="s">
        <v>1806</v>
      </c>
      <c r="J303" s="28">
        <v>41614</v>
      </c>
      <c r="K303" t="s">
        <v>992</v>
      </c>
      <c r="L303" t="s">
        <v>392</v>
      </c>
      <c r="M303" t="s">
        <v>1554</v>
      </c>
      <c r="N303"/>
      <c r="O303"/>
      <c r="P303"/>
      <c r="Q303" t="s">
        <v>634</v>
      </c>
      <c r="R303" t="s">
        <v>636</v>
      </c>
      <c r="S303" t="s">
        <v>703</v>
      </c>
      <c r="T303">
        <f>12/4</f>
        <v>3</v>
      </c>
      <c r="U303" s="2">
        <f>Table1[[#This Row],[Coal Power Plant Size (MW) or Share]]*0.593*9057*211.9*10^(-9)</f>
        <v>3.4142181956999997E-3</v>
      </c>
      <c r="V303" s="2">
        <f>Table1[[#This Row],[Annual Emissions (MMTCO2)]]*40</f>
        <v>0.136568727828</v>
      </c>
      <c r="W303"/>
      <c r="X303">
        <f>12/4</f>
        <v>3</v>
      </c>
      <c r="Y303"/>
      <c r="Z303" s="1"/>
      <c r="AA303" s="1"/>
    </row>
    <row r="304" spans="1:27" ht="27" hidden="1" customHeight="1">
      <c r="A304" t="s">
        <v>200</v>
      </c>
      <c r="B304" t="s">
        <v>222</v>
      </c>
      <c r="C304" t="s">
        <v>126</v>
      </c>
      <c r="D304" s="6">
        <v>750000</v>
      </c>
      <c r="E304"/>
      <c r="F304"/>
      <c r="G304"/>
      <c r="H304" t="s">
        <v>1685</v>
      </c>
      <c r="I304" t="s">
        <v>1806</v>
      </c>
      <c r="J304" s="28">
        <v>41614</v>
      </c>
      <c r="K304" t="s">
        <v>992</v>
      </c>
      <c r="L304" t="s">
        <v>392</v>
      </c>
      <c r="M304" t="s">
        <v>1554</v>
      </c>
      <c r="N304"/>
      <c r="O304"/>
      <c r="P304"/>
      <c r="Q304" t="s">
        <v>634</v>
      </c>
      <c r="R304" t="s">
        <v>636</v>
      </c>
      <c r="S304" t="s">
        <v>703</v>
      </c>
      <c r="T304">
        <f>12/4</f>
        <v>3</v>
      </c>
      <c r="U304" s="2">
        <f>Table1[[#This Row],[Coal Power Plant Size (MW) or Share]]*0.593*9057*211.9*10^(-9)</f>
        <v>3.4142181956999997E-3</v>
      </c>
      <c r="V304" s="2">
        <f>Table1[[#This Row],[Annual Emissions (MMTCO2)]]*40</f>
        <v>0.136568727828</v>
      </c>
      <c r="W304"/>
      <c r="X304">
        <f>12/4</f>
        <v>3</v>
      </c>
      <c r="Y304"/>
      <c r="Z304" s="1"/>
      <c r="AA304" s="1"/>
    </row>
    <row r="305" spans="1:27" ht="27" hidden="1" customHeight="1">
      <c r="A305" t="s">
        <v>200</v>
      </c>
      <c r="B305" t="s">
        <v>222</v>
      </c>
      <c r="C305" t="s">
        <v>126</v>
      </c>
      <c r="D305" s="6">
        <v>136380000</v>
      </c>
      <c r="E305"/>
      <c r="F305"/>
      <c r="G305"/>
      <c r="H305" t="s">
        <v>1621</v>
      </c>
      <c r="I305" t="s">
        <v>1810</v>
      </c>
      <c r="J305" s="28">
        <v>41684</v>
      </c>
      <c r="K305" t="s">
        <v>992</v>
      </c>
      <c r="L305" t="s">
        <v>649</v>
      </c>
      <c r="M305"/>
      <c r="N305"/>
      <c r="O305"/>
      <c r="P305"/>
      <c r="Q305" t="s">
        <v>634</v>
      </c>
      <c r="R305" t="s">
        <v>636</v>
      </c>
      <c r="S305" t="s">
        <v>703</v>
      </c>
      <c r="T305">
        <f>195/2</f>
        <v>97.5</v>
      </c>
      <c r="U305" s="2">
        <f>Table1[[#This Row],[Coal Power Plant Size (MW) or Share]]*0.593*9057*211.9*10^(-9)</f>
        <v>0.11096209136025001</v>
      </c>
      <c r="V305" s="2">
        <f>Table1[[#This Row],[Annual Emissions (MMTCO2)]]*40</f>
        <v>4.4384836544100006</v>
      </c>
      <c r="W305"/>
      <c r="X305">
        <f>195/2</f>
        <v>97.5</v>
      </c>
      <c r="Y305"/>
      <c r="Z305" s="1"/>
      <c r="AA305" s="1"/>
    </row>
    <row r="306" spans="1:27" ht="27" hidden="1" customHeight="1">
      <c r="A306" t="s">
        <v>200</v>
      </c>
      <c r="B306" t="s">
        <v>222</v>
      </c>
      <c r="C306" t="s">
        <v>126</v>
      </c>
      <c r="D306" s="6">
        <v>89910000</v>
      </c>
      <c r="E306"/>
      <c r="F306"/>
      <c r="G306"/>
      <c r="H306" t="s">
        <v>1540</v>
      </c>
      <c r="I306" t="s">
        <v>1819</v>
      </c>
      <c r="J306" s="28">
        <v>41761</v>
      </c>
      <c r="K306" t="s">
        <v>992</v>
      </c>
      <c r="L306" t="s">
        <v>198</v>
      </c>
      <c r="M306"/>
      <c r="N306"/>
      <c r="O306"/>
      <c r="P306"/>
      <c r="Q306" t="s">
        <v>634</v>
      </c>
      <c r="R306" t="s">
        <v>636</v>
      </c>
      <c r="S306" t="s">
        <v>703</v>
      </c>
      <c r="T306">
        <v>45.6</v>
      </c>
      <c r="U306" s="2">
        <f>Table1[[#This Row],[Coal Power Plant Size (MW) or Share]]*0.593*9057*211.9*10^(-9)</f>
        <v>5.1896116574640001E-2</v>
      </c>
      <c r="V306" s="2">
        <f>Table1[[#This Row],[Annual Emissions (MMTCO2)]]*40</f>
        <v>2.0758446629856002</v>
      </c>
      <c r="W306"/>
      <c r="X306">
        <v>45.6</v>
      </c>
      <c r="Y306"/>
      <c r="Z306" s="1"/>
      <c r="AA306" s="1"/>
    </row>
    <row r="307" spans="1:27" ht="27" hidden="1" customHeight="1">
      <c r="A307" t="s">
        <v>200</v>
      </c>
      <c r="B307" t="s">
        <v>211</v>
      </c>
      <c r="C307" t="s">
        <v>2030</v>
      </c>
      <c r="D307" s="6">
        <v>479900000</v>
      </c>
      <c r="E307"/>
      <c r="F307"/>
      <c r="G307"/>
      <c r="H307" t="s">
        <v>1468</v>
      </c>
      <c r="I307" t="s">
        <v>1804</v>
      </c>
      <c r="J307" s="28">
        <v>41774</v>
      </c>
      <c r="K307" t="s">
        <v>992</v>
      </c>
      <c r="L307" t="s">
        <v>649</v>
      </c>
      <c r="M307"/>
      <c r="N307"/>
      <c r="O307"/>
      <c r="P307"/>
      <c r="Q307" t="s">
        <v>634</v>
      </c>
      <c r="R307" t="s">
        <v>1469</v>
      </c>
      <c r="S307" t="s">
        <v>703</v>
      </c>
      <c r="T307">
        <f>600/3</f>
        <v>200</v>
      </c>
      <c r="U307" s="2">
        <f>Table1[[#This Row],[Coal Power Plant Size (MW) or Share]]*0.593*9057*211.9*10^(-9)</f>
        <v>0.22761454638</v>
      </c>
      <c r="V307" s="2">
        <f>Table1[[#This Row],[Annual Emissions (MMTCO2)]]*40</f>
        <v>9.1045818551999993</v>
      </c>
      <c r="W307"/>
      <c r="X307">
        <f>600/3</f>
        <v>200</v>
      </c>
      <c r="Y307"/>
      <c r="Z307" s="1"/>
      <c r="AA307" s="1"/>
    </row>
    <row r="308" spans="1:27" ht="27" hidden="1" customHeight="1">
      <c r="A308" t="s">
        <v>200</v>
      </c>
      <c r="B308" t="s">
        <v>222</v>
      </c>
      <c r="C308" t="s">
        <v>126</v>
      </c>
      <c r="D308" s="6">
        <v>119000000</v>
      </c>
      <c r="E308"/>
      <c r="F308"/>
      <c r="G308"/>
      <c r="H308" t="s">
        <v>1695</v>
      </c>
      <c r="I308" t="s">
        <v>1825</v>
      </c>
      <c r="J308" s="28">
        <v>41820</v>
      </c>
      <c r="K308" t="s">
        <v>1450</v>
      </c>
      <c r="L308" t="s">
        <v>123</v>
      </c>
      <c r="M308" t="s">
        <v>1664</v>
      </c>
      <c r="N308"/>
      <c r="O308"/>
      <c r="P308"/>
      <c r="Q308" t="s">
        <v>634</v>
      </c>
      <c r="R308" t="s">
        <v>636</v>
      </c>
      <c r="S308" t="s">
        <v>703</v>
      </c>
      <c r="T308">
        <f>50/2</f>
        <v>25</v>
      </c>
      <c r="U308" s="2">
        <f>Table1[[#This Row],[Coal Power Plant Size (MW) or Share]]*0.593*9057*211.9*10^(-9)</f>
        <v>2.8451818297500001E-2</v>
      </c>
      <c r="V308" s="2">
        <f>Table1[[#This Row],[Annual Emissions (MMTCO2)]]*40</f>
        <v>1.1380727318999999</v>
      </c>
      <c r="W308"/>
      <c r="X308">
        <f>50/2</f>
        <v>25</v>
      </c>
      <c r="Y308"/>
      <c r="Z308" s="1"/>
      <c r="AA308" s="1"/>
    </row>
    <row r="309" spans="1:27" ht="27" hidden="1" customHeight="1">
      <c r="A309" t="s">
        <v>200</v>
      </c>
      <c r="B309" t="s">
        <v>222</v>
      </c>
      <c r="C309" t="s">
        <v>126</v>
      </c>
      <c r="D309" s="6">
        <v>14710000</v>
      </c>
      <c r="E309"/>
      <c r="F309"/>
      <c r="G309"/>
      <c r="H309" t="s">
        <v>1695</v>
      </c>
      <c r="I309" t="s">
        <v>1825</v>
      </c>
      <c r="J309" s="28">
        <v>41820</v>
      </c>
      <c r="K309" t="s">
        <v>1450</v>
      </c>
      <c r="L309" t="s">
        <v>123</v>
      </c>
      <c r="M309" t="s">
        <v>1664</v>
      </c>
      <c r="N309"/>
      <c r="O309"/>
      <c r="P309"/>
      <c r="Q309" t="s">
        <v>634</v>
      </c>
      <c r="R309" t="s">
        <v>636</v>
      </c>
      <c r="S309" t="s">
        <v>703</v>
      </c>
      <c r="T309">
        <f>50/2</f>
        <v>25</v>
      </c>
      <c r="U309" s="2">
        <f>Table1[[#This Row],[Coal Power Plant Size (MW) or Share]]*0.593*9057*211.9*10^(-9)</f>
        <v>2.8451818297500001E-2</v>
      </c>
      <c r="V309" s="2">
        <f>Table1[[#This Row],[Annual Emissions (MMTCO2)]]*40</f>
        <v>1.1380727318999999</v>
      </c>
      <c r="W309"/>
      <c r="X309">
        <f>50/2</f>
        <v>25</v>
      </c>
      <c r="Y309"/>
      <c r="Z309" s="1"/>
      <c r="AA309" s="1"/>
    </row>
    <row r="310" spans="1:27" ht="27" hidden="1" customHeight="1">
      <c r="A310" t="s">
        <v>200</v>
      </c>
      <c r="B310" t="s">
        <v>222</v>
      </c>
      <c r="C310" t="s">
        <v>126</v>
      </c>
      <c r="D310" s="6">
        <v>108860000</v>
      </c>
      <c r="E310"/>
      <c r="F310"/>
      <c r="G310"/>
      <c r="H310" t="s">
        <v>1550</v>
      </c>
      <c r="I310" t="s">
        <v>1899</v>
      </c>
      <c r="J310" s="28">
        <v>41830</v>
      </c>
      <c r="K310" t="s">
        <v>1482</v>
      </c>
      <c r="L310" t="s">
        <v>705</v>
      </c>
      <c r="M310"/>
      <c r="N310"/>
      <c r="O310"/>
      <c r="P310"/>
      <c r="Q310" t="s">
        <v>634</v>
      </c>
      <c r="R310" t="s">
        <v>638</v>
      </c>
      <c r="S310" t="s">
        <v>703</v>
      </c>
      <c r="T310">
        <v>800</v>
      </c>
      <c r="U310" s="2">
        <f>Table1[[#This Row],[Coal Power Plant Size (MW) or Share]]*0.593*9057*211.9*10^(-9)</f>
        <v>0.91045818552000002</v>
      </c>
      <c r="V310" s="2">
        <f>Table1[[#This Row],[Annual Emissions (MMTCO2)]]*40</f>
        <v>36.418327420799997</v>
      </c>
      <c r="W310"/>
      <c r="X310">
        <v>800</v>
      </c>
      <c r="Y310"/>
      <c r="Z310" s="1"/>
      <c r="AA310" s="1"/>
    </row>
    <row r="311" spans="1:27" ht="27" hidden="1" customHeight="1">
      <c r="A311" t="s">
        <v>200</v>
      </c>
      <c r="B311" t="s">
        <v>222</v>
      </c>
      <c r="C311" t="s">
        <v>126</v>
      </c>
      <c r="D311" s="6">
        <v>49700000</v>
      </c>
      <c r="E311"/>
      <c r="F311"/>
      <c r="G311"/>
      <c r="H311" t="s">
        <v>1553</v>
      </c>
      <c r="I311" t="s">
        <v>1881</v>
      </c>
      <c r="J311" s="28">
        <v>41879</v>
      </c>
      <c r="K311" t="s">
        <v>992</v>
      </c>
      <c r="L311" t="s">
        <v>392</v>
      </c>
      <c r="M311" t="s">
        <v>1554</v>
      </c>
      <c r="N311"/>
      <c r="O311"/>
      <c r="P311"/>
      <c r="Q311" t="s">
        <v>634</v>
      </c>
      <c r="R311" t="s">
        <v>636</v>
      </c>
      <c r="S311" t="s">
        <v>703</v>
      </c>
      <c r="T311">
        <v>69.599999999999994</v>
      </c>
      <c r="U311" s="2">
        <f>Table1[[#This Row],[Coal Power Plant Size (MW) or Share]]*0.593*9057*211.9*10^(-9)</f>
        <v>7.9209862140240006E-2</v>
      </c>
      <c r="V311" s="2">
        <f>Table1[[#This Row],[Annual Emissions (MMTCO2)]]*40</f>
        <v>3.1683944856096002</v>
      </c>
      <c r="W311"/>
      <c r="X311">
        <v>69.599999999999994</v>
      </c>
      <c r="Y311"/>
      <c r="Z311" s="1"/>
      <c r="AA311" s="1"/>
    </row>
    <row r="312" spans="1:27" ht="27" hidden="1" customHeight="1">
      <c r="A312" t="s">
        <v>200</v>
      </c>
      <c r="B312" t="s">
        <v>222</v>
      </c>
      <c r="C312" t="s">
        <v>126</v>
      </c>
      <c r="D312" s="6">
        <v>69130000</v>
      </c>
      <c r="E312"/>
      <c r="F312"/>
      <c r="G312"/>
      <c r="H312" t="s">
        <v>1577</v>
      </c>
      <c r="I312" t="s">
        <v>1856</v>
      </c>
      <c r="J312" s="28">
        <v>41912</v>
      </c>
      <c r="K312" t="s">
        <v>992</v>
      </c>
      <c r="L312" t="s">
        <v>198</v>
      </c>
      <c r="M312"/>
      <c r="N312"/>
      <c r="O312"/>
      <c r="P312"/>
      <c r="Q312" t="s">
        <v>634</v>
      </c>
      <c r="R312" t="s">
        <v>635</v>
      </c>
      <c r="S312" t="s">
        <v>703</v>
      </c>
      <c r="T312">
        <v>57.6</v>
      </c>
      <c r="U312" s="2">
        <f>Table1[[#This Row],[Coal Power Plant Size (MW) or Share]]*0.593*9057*211.9*10^(-9)</f>
        <v>6.555298935744E-2</v>
      </c>
      <c r="V312" s="2">
        <f>Table1[[#This Row],[Annual Emissions (MMTCO2)]]*40</f>
        <v>2.6221195742976002</v>
      </c>
      <c r="W312"/>
      <c r="X312">
        <v>57.6</v>
      </c>
      <c r="Y312"/>
      <c r="Z312" s="1"/>
      <c r="AA312" s="1"/>
    </row>
    <row r="313" spans="1:27" ht="27" hidden="1" customHeight="1">
      <c r="A313" t="s">
        <v>200</v>
      </c>
      <c r="B313" t="s">
        <v>1740</v>
      </c>
      <c r="C313" t="s">
        <v>126</v>
      </c>
      <c r="D313" s="6">
        <v>24820000</v>
      </c>
      <c r="E313"/>
      <c r="F313"/>
      <c r="G313"/>
      <c r="H313" t="s">
        <v>1581</v>
      </c>
      <c r="I313" t="s">
        <v>1765</v>
      </c>
      <c r="J313" s="28">
        <v>41982</v>
      </c>
      <c r="K313" t="s">
        <v>1482</v>
      </c>
      <c r="L313" t="s">
        <v>705</v>
      </c>
      <c r="M313"/>
      <c r="N313"/>
      <c r="O313"/>
      <c r="P313"/>
      <c r="Q313" t="s">
        <v>634</v>
      </c>
      <c r="R313" t="s">
        <v>636</v>
      </c>
      <c r="S313" t="s">
        <v>703</v>
      </c>
      <c r="T313">
        <f>300/4</f>
        <v>75</v>
      </c>
      <c r="U313" s="2">
        <f>Table1[[#This Row],[Coal Power Plant Size (MW) or Share]]*0.593*9057*211.9*10^(-9)</f>
        <v>8.5355454892500002E-2</v>
      </c>
      <c r="V313" s="2">
        <f>Table1[[#This Row],[Annual Emissions (MMTCO2)]]*40</f>
        <v>3.4142181957000002</v>
      </c>
      <c r="W313"/>
      <c r="X313">
        <f>300/4</f>
        <v>75</v>
      </c>
      <c r="Y313"/>
      <c r="Z313" s="1"/>
      <c r="AA313" s="1"/>
    </row>
    <row r="314" spans="1:27" ht="27" hidden="1" customHeight="1">
      <c r="A314" t="s">
        <v>200</v>
      </c>
      <c r="B314" t="s">
        <v>1740</v>
      </c>
      <c r="C314" t="s">
        <v>126</v>
      </c>
      <c r="D314" s="6">
        <v>11000000</v>
      </c>
      <c r="E314"/>
      <c r="F314"/>
      <c r="G314"/>
      <c r="H314" t="s">
        <v>1610</v>
      </c>
      <c r="I314" t="s">
        <v>1869</v>
      </c>
      <c r="J314" s="28">
        <v>42002</v>
      </c>
      <c r="K314" t="s">
        <v>990</v>
      </c>
      <c r="L314" t="s">
        <v>1503</v>
      </c>
      <c r="M314"/>
      <c r="N314"/>
      <c r="O314"/>
      <c r="P314"/>
      <c r="Q314" t="s">
        <v>634</v>
      </c>
      <c r="R314" t="s">
        <v>635</v>
      </c>
      <c r="S314" t="s">
        <v>703</v>
      </c>
      <c r="T314">
        <v>25</v>
      </c>
      <c r="U314" s="2">
        <f>Table1[[#This Row],[Coal Power Plant Size (MW) or Share]]*0.593*9057*211.9*10^(-9)</f>
        <v>2.8451818297500001E-2</v>
      </c>
      <c r="V314" s="2">
        <f>Table1[[#This Row],[Annual Emissions (MMTCO2)]]*40</f>
        <v>1.1380727318999999</v>
      </c>
      <c r="W314"/>
      <c r="X314">
        <v>25</v>
      </c>
      <c r="Y314"/>
      <c r="Z314" s="1"/>
      <c r="AA314" s="1"/>
    </row>
    <row r="315" spans="1:27" ht="27" hidden="1" customHeight="1">
      <c r="A315" t="s">
        <v>200</v>
      </c>
      <c r="B315" t="s">
        <v>222</v>
      </c>
      <c r="C315" t="s">
        <v>126</v>
      </c>
      <c r="D315" s="6">
        <v>89560000</v>
      </c>
      <c r="E315"/>
      <c r="F315"/>
      <c r="G315"/>
      <c r="H315" t="s">
        <v>1545</v>
      </c>
      <c r="I315" t="s">
        <v>1840</v>
      </c>
      <c r="J315" s="28">
        <v>42047</v>
      </c>
      <c r="K315" t="s">
        <v>1482</v>
      </c>
      <c r="L315" t="s">
        <v>31</v>
      </c>
      <c r="M315"/>
      <c r="N315"/>
      <c r="O315"/>
      <c r="P315"/>
      <c r="Q315" t="s">
        <v>634</v>
      </c>
      <c r="R315" t="s">
        <v>636</v>
      </c>
      <c r="S315" t="s">
        <v>703</v>
      </c>
      <c r="T315">
        <v>111</v>
      </c>
      <c r="U315" s="2">
        <f>Table1[[#This Row],[Coal Power Plant Size (MW) or Share]]*0.593*9057*211.9*10^(-9)</f>
        <v>0.12632607324090001</v>
      </c>
      <c r="V315" s="2">
        <f>Table1[[#This Row],[Annual Emissions (MMTCO2)]]*40</f>
        <v>5.0530429296359998</v>
      </c>
      <c r="W315"/>
      <c r="X315">
        <v>111</v>
      </c>
      <c r="Y315"/>
      <c r="Z315" s="1"/>
      <c r="AA315" s="1"/>
    </row>
    <row r="316" spans="1:27" ht="27" hidden="1" customHeight="1">
      <c r="A316" t="s">
        <v>200</v>
      </c>
      <c r="B316" t="s">
        <v>1740</v>
      </c>
      <c r="C316" t="s">
        <v>126</v>
      </c>
      <c r="D316" s="6">
        <v>8340000</v>
      </c>
      <c r="E316"/>
      <c r="F316"/>
      <c r="G316"/>
      <c r="H316" t="s">
        <v>1596</v>
      </c>
      <c r="I316" t="s">
        <v>1855</v>
      </c>
      <c r="J316" s="28">
        <v>42050</v>
      </c>
      <c r="K316" t="s">
        <v>990</v>
      </c>
      <c r="L316" t="s">
        <v>1597</v>
      </c>
      <c r="M316"/>
      <c r="N316"/>
      <c r="O316"/>
      <c r="P316"/>
      <c r="Q316" t="s">
        <v>634</v>
      </c>
      <c r="R316" t="s">
        <v>636</v>
      </c>
      <c r="S316" t="s">
        <v>703</v>
      </c>
      <c r="T316">
        <f>32.1/2</f>
        <v>16.05</v>
      </c>
      <c r="U316" s="2">
        <f>Table1[[#This Row],[Coal Power Plant Size (MW) or Share]]*0.593*9057*211.9*10^(-9)</f>
        <v>1.8266067346995003E-2</v>
      </c>
      <c r="V316" s="2">
        <f>Table1[[#This Row],[Annual Emissions (MMTCO2)]]*40</f>
        <v>0.73064269387980008</v>
      </c>
      <c r="W316"/>
      <c r="X316">
        <f>32.1/2</f>
        <v>16.05</v>
      </c>
      <c r="Y316"/>
      <c r="Z316" s="1"/>
      <c r="AA316" s="1"/>
    </row>
    <row r="317" spans="1:27" ht="27" hidden="1" customHeight="1">
      <c r="A317" t="s">
        <v>200</v>
      </c>
      <c r="B317" t="s">
        <v>1740</v>
      </c>
      <c r="C317" t="s">
        <v>126</v>
      </c>
      <c r="D317" s="6">
        <v>15000000</v>
      </c>
      <c r="E317"/>
      <c r="F317"/>
      <c r="G317"/>
      <c r="H317" t="s">
        <v>1703</v>
      </c>
      <c r="I317" t="s">
        <v>1773</v>
      </c>
      <c r="J317" s="28">
        <v>42050</v>
      </c>
      <c r="K317" t="s">
        <v>990</v>
      </c>
      <c r="L317" t="s">
        <v>1597</v>
      </c>
      <c r="M317"/>
      <c r="N317"/>
      <c r="O317"/>
      <c r="P317"/>
      <c r="Q317" t="s">
        <v>634</v>
      </c>
      <c r="R317" t="s">
        <v>636</v>
      </c>
      <c r="S317" t="s">
        <v>703</v>
      </c>
      <c r="T317">
        <f>97.15/2</f>
        <v>48.575000000000003</v>
      </c>
      <c r="U317" s="2">
        <f>Table1[[#This Row],[Coal Power Plant Size (MW) or Share]]*0.593*9057*211.9*10^(-9)</f>
        <v>5.5281882952042498E-2</v>
      </c>
      <c r="V317" s="2">
        <f>Table1[[#This Row],[Annual Emissions (MMTCO2)]]*40</f>
        <v>2.2112753180816997</v>
      </c>
      <c r="W317"/>
      <c r="X317">
        <f>97.15/2</f>
        <v>48.575000000000003</v>
      </c>
      <c r="Y317"/>
      <c r="Z317" s="1"/>
      <c r="AA317" s="1"/>
    </row>
    <row r="318" spans="1:27" ht="27" hidden="1" customHeight="1">
      <c r="A318" t="s">
        <v>200</v>
      </c>
      <c r="B318" t="s">
        <v>1740</v>
      </c>
      <c r="C318" t="s">
        <v>126</v>
      </c>
      <c r="D318" s="6">
        <v>45500000</v>
      </c>
      <c r="E318"/>
      <c r="F318"/>
      <c r="G318"/>
      <c r="H318" t="s">
        <v>1502</v>
      </c>
      <c r="I318" t="s">
        <v>1862</v>
      </c>
      <c r="J318" s="28">
        <v>42089</v>
      </c>
      <c r="K318" t="s">
        <v>990</v>
      </c>
      <c r="L318" t="s">
        <v>1503</v>
      </c>
      <c r="M318"/>
      <c r="N318"/>
      <c r="O318"/>
      <c r="P318"/>
      <c r="Q318" t="s">
        <v>634</v>
      </c>
      <c r="R318" t="s">
        <v>635</v>
      </c>
      <c r="S318" t="s">
        <v>703</v>
      </c>
      <c r="T318">
        <f>61/3</f>
        <v>20.333333333333332</v>
      </c>
      <c r="U318" s="2">
        <f>Table1[[#This Row],[Coal Power Plant Size (MW) or Share]]*0.593*9057*211.9*10^(-9)</f>
        <v>2.3140812215300004E-2</v>
      </c>
      <c r="V318" s="2">
        <f>Table1[[#This Row],[Annual Emissions (MMTCO2)]]*40</f>
        <v>0.9256324886120002</v>
      </c>
      <c r="W318"/>
      <c r="X318">
        <f>61/3</f>
        <v>20.333333333333332</v>
      </c>
      <c r="Y318"/>
      <c r="Z318" s="1"/>
      <c r="AA318" s="1"/>
    </row>
    <row r="319" spans="1:27" ht="27" hidden="1" customHeight="1">
      <c r="A319" t="s">
        <v>200</v>
      </c>
      <c r="B319" t="s">
        <v>222</v>
      </c>
      <c r="C319" t="s">
        <v>126</v>
      </c>
      <c r="D319" s="6">
        <v>48930000</v>
      </c>
      <c r="E319"/>
      <c r="F319"/>
      <c r="G319"/>
      <c r="H319" t="s">
        <v>1668</v>
      </c>
      <c r="I319" t="s">
        <v>1884</v>
      </c>
      <c r="J319" s="28">
        <v>42115</v>
      </c>
      <c r="K319" t="s">
        <v>992</v>
      </c>
      <c r="L319" t="s">
        <v>1669</v>
      </c>
      <c r="M319"/>
      <c r="N319"/>
      <c r="O319"/>
      <c r="P319"/>
      <c r="Q319" t="s">
        <v>634</v>
      </c>
      <c r="R319" t="s">
        <v>636</v>
      </c>
      <c r="S319" t="s">
        <v>703</v>
      </c>
      <c r="T319">
        <v>60</v>
      </c>
      <c r="U319" s="2">
        <f>Table1[[#This Row],[Coal Power Plant Size (MW) or Share]]*0.593*9057*211.9*10^(-9)</f>
        <v>6.8284363914000015E-2</v>
      </c>
      <c r="V319" s="2">
        <f>Table1[[#This Row],[Annual Emissions (MMTCO2)]]*40</f>
        <v>2.7313745565600005</v>
      </c>
      <c r="W319"/>
      <c r="X319">
        <v>60</v>
      </c>
      <c r="Y319"/>
      <c r="Z319" s="1"/>
      <c r="AA319" s="1"/>
    </row>
    <row r="320" spans="1:27" ht="27" hidden="1" customHeight="1">
      <c r="A320" t="s">
        <v>200</v>
      </c>
      <c r="B320" t="s">
        <v>222</v>
      </c>
      <c r="C320" t="s">
        <v>126</v>
      </c>
      <c r="D320" s="6">
        <v>68790000</v>
      </c>
      <c r="E320"/>
      <c r="F320"/>
      <c r="G320"/>
      <c r="H320" t="s">
        <v>1659</v>
      </c>
      <c r="I320" t="s">
        <v>1872</v>
      </c>
      <c r="J320" s="28">
        <v>42124</v>
      </c>
      <c r="K320" t="s">
        <v>990</v>
      </c>
      <c r="L320" t="s">
        <v>20</v>
      </c>
      <c r="M320"/>
      <c r="N320"/>
      <c r="O320"/>
      <c r="P320"/>
      <c r="Q320" t="s">
        <v>634</v>
      </c>
      <c r="R320" t="s">
        <v>636</v>
      </c>
      <c r="S320" t="s">
        <v>703</v>
      </c>
      <c r="T320">
        <f>185/2</f>
        <v>92.5</v>
      </c>
      <c r="U320" s="2">
        <f>Table1[[#This Row],[Coal Power Plant Size (MW) or Share]]*0.593*9057*211.9*10^(-9)</f>
        <v>0.10527172770075</v>
      </c>
      <c r="V320" s="2">
        <f>Table1[[#This Row],[Annual Emissions (MMTCO2)]]*40</f>
        <v>4.2108691080299998</v>
      </c>
      <c r="W320"/>
      <c r="X320">
        <f>185/2</f>
        <v>92.5</v>
      </c>
      <c r="Y320"/>
      <c r="Z320" s="1"/>
      <c r="AA320" s="1"/>
    </row>
    <row r="321" spans="1:27" ht="27" hidden="1" customHeight="1">
      <c r="A321" t="s">
        <v>200</v>
      </c>
      <c r="B321" t="s">
        <v>222</v>
      </c>
      <c r="C321" t="s">
        <v>126</v>
      </c>
      <c r="D321" s="6">
        <v>25760000</v>
      </c>
      <c r="E321"/>
      <c r="F321"/>
      <c r="G321"/>
      <c r="H321" t="s">
        <v>1659</v>
      </c>
      <c r="I321" t="s">
        <v>1872</v>
      </c>
      <c r="J321" s="28">
        <v>42124</v>
      </c>
      <c r="K321" t="s">
        <v>990</v>
      </c>
      <c r="L321" t="s">
        <v>20</v>
      </c>
      <c r="M321"/>
      <c r="N321"/>
      <c r="O321"/>
      <c r="P321"/>
      <c r="Q321" t="s">
        <v>634</v>
      </c>
      <c r="R321" t="s">
        <v>636</v>
      </c>
      <c r="S321" t="s">
        <v>703</v>
      </c>
      <c r="T321">
        <f>185/2</f>
        <v>92.5</v>
      </c>
      <c r="U321" s="2">
        <f>Table1[[#This Row],[Coal Power Plant Size (MW) or Share]]*0.593*9057*211.9*10^(-9)</f>
        <v>0.10527172770075</v>
      </c>
      <c r="V321" s="2">
        <f>Table1[[#This Row],[Annual Emissions (MMTCO2)]]*40</f>
        <v>4.2108691080299998</v>
      </c>
      <c r="W321"/>
      <c r="X321">
        <f>185/2</f>
        <v>92.5</v>
      </c>
      <c r="Y321"/>
      <c r="Z321" s="1"/>
      <c r="AA321" s="1"/>
    </row>
    <row r="322" spans="1:27" ht="27" hidden="1" customHeight="1">
      <c r="A322" t="s">
        <v>200</v>
      </c>
      <c r="B322" t="s">
        <v>222</v>
      </c>
      <c r="C322" t="s">
        <v>126</v>
      </c>
      <c r="D322" s="6">
        <v>98500000</v>
      </c>
      <c r="E322"/>
      <c r="F322"/>
      <c r="G322"/>
      <c r="H322" t="s">
        <v>1635</v>
      </c>
      <c r="I322" t="s">
        <v>1814</v>
      </c>
      <c r="J322" s="28">
        <v>42125</v>
      </c>
      <c r="K322" t="s">
        <v>990</v>
      </c>
      <c r="L322" t="s">
        <v>1466</v>
      </c>
      <c r="M322"/>
      <c r="N322"/>
      <c r="O322"/>
      <c r="P322"/>
      <c r="Q322" t="s">
        <v>634</v>
      </c>
      <c r="R322" t="s">
        <v>636</v>
      </c>
      <c r="S322" t="s">
        <v>703</v>
      </c>
      <c r="T322">
        <v>141.6</v>
      </c>
      <c r="U322" s="2">
        <f>Table1[[#This Row],[Coal Power Plant Size (MW) or Share]]*0.593*9057*211.9*10^(-9)</f>
        <v>0.16115109883703999</v>
      </c>
      <c r="V322" s="2">
        <f>Table1[[#This Row],[Annual Emissions (MMTCO2)]]*40</f>
        <v>6.446043953481599</v>
      </c>
      <c r="W322"/>
      <c r="X322">
        <v>141.6</v>
      </c>
      <c r="Y322"/>
      <c r="Z322" s="1"/>
      <c r="AA322" s="1"/>
    </row>
    <row r="323" spans="1:27" ht="27" hidden="1" customHeight="1">
      <c r="A323" t="s">
        <v>200</v>
      </c>
      <c r="B323" t="s">
        <v>222</v>
      </c>
      <c r="C323" t="s">
        <v>126</v>
      </c>
      <c r="D323" s="6">
        <v>128100000</v>
      </c>
      <c r="E323"/>
      <c r="F323"/>
      <c r="G323"/>
      <c r="H323" t="s">
        <v>1617</v>
      </c>
      <c r="I323" t="s">
        <v>1800</v>
      </c>
      <c r="J323" s="28">
        <v>42145</v>
      </c>
      <c r="K323" t="s">
        <v>993</v>
      </c>
      <c r="L323" t="s">
        <v>166</v>
      </c>
      <c r="M323"/>
      <c r="N323"/>
      <c r="O323"/>
      <c r="P323"/>
      <c r="Q323" t="s">
        <v>634</v>
      </c>
      <c r="R323" t="s">
        <v>1474</v>
      </c>
      <c r="S323" t="s">
        <v>703</v>
      </c>
      <c r="T323">
        <f>200/6</f>
        <v>33.333333333333336</v>
      </c>
      <c r="U323" s="2">
        <f>Table1[[#This Row],[Coal Power Plant Size (MW) or Share]]*0.593*9057*211.9*10^(-9)</f>
        <v>3.7935757729999998E-2</v>
      </c>
      <c r="V323" s="2">
        <f>Table1[[#This Row],[Annual Emissions (MMTCO2)]]*40</f>
        <v>1.5174303091999999</v>
      </c>
      <c r="W323"/>
      <c r="X323">
        <f>200/6</f>
        <v>33.333333333333336</v>
      </c>
      <c r="Y323"/>
      <c r="Z323" s="1"/>
      <c r="AA323" s="1"/>
    </row>
    <row r="324" spans="1:27" ht="27" hidden="1" customHeight="1">
      <c r="A324" t="s">
        <v>200</v>
      </c>
      <c r="B324" t="s">
        <v>222</v>
      </c>
      <c r="C324" t="s">
        <v>126</v>
      </c>
      <c r="D324" s="6">
        <v>88100000</v>
      </c>
      <c r="E324"/>
      <c r="F324"/>
      <c r="G324"/>
      <c r="H324" t="s">
        <v>1618</v>
      </c>
      <c r="I324" t="s">
        <v>1801</v>
      </c>
      <c r="J324" s="28">
        <v>42145</v>
      </c>
      <c r="K324" t="s">
        <v>993</v>
      </c>
      <c r="L324" t="s">
        <v>166</v>
      </c>
      <c r="M324"/>
      <c r="N324"/>
      <c r="O324"/>
      <c r="P324"/>
      <c r="Q324" t="s">
        <v>634</v>
      </c>
      <c r="R324" t="s">
        <v>1474</v>
      </c>
      <c r="S324" t="s">
        <v>703</v>
      </c>
      <c r="T324">
        <f>150/6</f>
        <v>25</v>
      </c>
      <c r="U324" s="2">
        <f>Table1[[#This Row],[Coal Power Plant Size (MW) or Share]]*0.593*9057*211.9*10^(-9)</f>
        <v>2.8451818297500001E-2</v>
      </c>
      <c r="V324" s="2">
        <f>Table1[[#This Row],[Annual Emissions (MMTCO2)]]*40</f>
        <v>1.1380727318999999</v>
      </c>
      <c r="W324"/>
      <c r="X324">
        <f>150/6</f>
        <v>25</v>
      </c>
      <c r="Y324"/>
      <c r="Z324" s="1"/>
      <c r="AA324" s="1"/>
    </row>
    <row r="325" spans="1:27" ht="27" hidden="1" customHeight="1">
      <c r="A325" t="s">
        <v>200</v>
      </c>
      <c r="B325" t="s">
        <v>1741</v>
      </c>
      <c r="C325" t="s">
        <v>2030</v>
      </c>
      <c r="D325" s="6">
        <v>54110000</v>
      </c>
      <c r="E325"/>
      <c r="F325"/>
      <c r="G325"/>
      <c r="H325" t="s">
        <v>1574</v>
      </c>
      <c r="I325" t="s">
        <v>1871</v>
      </c>
      <c r="J325" s="28">
        <v>42191</v>
      </c>
      <c r="K325" t="s">
        <v>992</v>
      </c>
      <c r="L325" t="s">
        <v>792</v>
      </c>
      <c r="M325"/>
      <c r="N325"/>
      <c r="O325"/>
      <c r="P325"/>
      <c r="Q325" t="s">
        <v>634</v>
      </c>
      <c r="R325" t="s">
        <v>636</v>
      </c>
      <c r="S325" t="s">
        <v>703</v>
      </c>
      <c r="T325">
        <f>72/2</f>
        <v>36</v>
      </c>
      <c r="U325" s="2">
        <f>Table1[[#This Row],[Coal Power Plant Size (MW) or Share]]*0.593*9057*211.9*10^(-9)</f>
        <v>4.0970618348399997E-2</v>
      </c>
      <c r="V325" s="2">
        <f>Table1[[#This Row],[Annual Emissions (MMTCO2)]]*40</f>
        <v>1.6388247339359998</v>
      </c>
      <c r="W325"/>
      <c r="X325">
        <f>72/2</f>
        <v>36</v>
      </c>
      <c r="Y325"/>
      <c r="Z325" s="1"/>
      <c r="AA325" s="1"/>
    </row>
    <row r="326" spans="1:27" ht="27" hidden="1" customHeight="1">
      <c r="A326" t="s">
        <v>200</v>
      </c>
      <c r="B326" t="s">
        <v>222</v>
      </c>
      <c r="C326" t="s">
        <v>126</v>
      </c>
      <c r="D326" s="6">
        <v>27680000</v>
      </c>
      <c r="E326"/>
      <c r="F326"/>
      <c r="G326"/>
      <c r="H326" t="s">
        <v>1609</v>
      </c>
      <c r="I326" t="s">
        <v>1893</v>
      </c>
      <c r="J326" s="28">
        <v>42194</v>
      </c>
      <c r="K326" t="s">
        <v>992</v>
      </c>
      <c r="L326" t="s">
        <v>202</v>
      </c>
      <c r="M326"/>
      <c r="N326"/>
      <c r="O326"/>
      <c r="P326"/>
      <c r="Q326" t="s">
        <v>634</v>
      </c>
      <c r="R326" t="s">
        <v>636</v>
      </c>
      <c r="S326" t="s">
        <v>703</v>
      </c>
      <c r="T326">
        <v>28.8</v>
      </c>
      <c r="U326" s="2">
        <f>Table1[[#This Row],[Coal Power Plant Size (MW) or Share]]*0.593*9057*211.9*10^(-9)</f>
        <v>3.277649467872E-2</v>
      </c>
      <c r="V326" s="2">
        <f>Table1[[#This Row],[Annual Emissions (MMTCO2)]]*40</f>
        <v>1.3110597871488001</v>
      </c>
      <c r="W326"/>
      <c r="X326">
        <v>28.8</v>
      </c>
      <c r="Y326"/>
      <c r="Z326" s="1"/>
      <c r="AA326" s="1"/>
    </row>
    <row r="327" spans="1:27" ht="27" hidden="1" customHeight="1">
      <c r="A327" t="s">
        <v>200</v>
      </c>
      <c r="B327" t="s">
        <v>222</v>
      </c>
      <c r="C327" t="s">
        <v>126</v>
      </c>
      <c r="D327" s="6">
        <v>50840000</v>
      </c>
      <c r="E327"/>
      <c r="F327"/>
      <c r="G327"/>
      <c r="H327" t="s">
        <v>1694</v>
      </c>
      <c r="I327" t="s">
        <v>1818</v>
      </c>
      <c r="J327" s="28">
        <v>42228</v>
      </c>
      <c r="K327" t="s">
        <v>1450</v>
      </c>
      <c r="L327" t="s">
        <v>123</v>
      </c>
      <c r="M327" t="s">
        <v>1664</v>
      </c>
      <c r="N327"/>
      <c r="O327"/>
      <c r="P327"/>
      <c r="Q327" t="s">
        <v>634</v>
      </c>
      <c r="R327" t="s">
        <v>636</v>
      </c>
      <c r="S327" t="s">
        <v>703</v>
      </c>
      <c r="T327">
        <f>23.5/2</f>
        <v>11.75</v>
      </c>
      <c r="U327" s="2">
        <f>Table1[[#This Row],[Coal Power Plant Size (MW) or Share]]*0.593*9057*211.9*10^(-9)</f>
        <v>1.3372354599825002E-2</v>
      </c>
      <c r="V327" s="2">
        <f>Table1[[#This Row],[Annual Emissions (MMTCO2)]]*40</f>
        <v>0.53489418399300004</v>
      </c>
      <c r="W327"/>
      <c r="X327">
        <f>23.5/2</f>
        <v>11.75</v>
      </c>
      <c r="Y327"/>
      <c r="Z327" s="1"/>
      <c r="AA327" s="1"/>
    </row>
    <row r="328" spans="1:27" ht="27" hidden="1" customHeight="1">
      <c r="A328" t="s">
        <v>200</v>
      </c>
      <c r="B328" t="s">
        <v>222</v>
      </c>
      <c r="C328" t="s">
        <v>126</v>
      </c>
      <c r="D328" s="6">
        <v>8910000</v>
      </c>
      <c r="E328"/>
      <c r="F328"/>
      <c r="G328"/>
      <c r="H328" t="s">
        <v>1694</v>
      </c>
      <c r="I328" t="s">
        <v>1818</v>
      </c>
      <c r="J328" s="28">
        <v>42228</v>
      </c>
      <c r="K328" t="s">
        <v>1450</v>
      </c>
      <c r="L328" t="s">
        <v>123</v>
      </c>
      <c r="M328" t="s">
        <v>1664</v>
      </c>
      <c r="N328"/>
      <c r="O328"/>
      <c r="P328"/>
      <c r="Q328" t="s">
        <v>634</v>
      </c>
      <c r="R328" t="s">
        <v>636</v>
      </c>
      <c r="S328" t="s">
        <v>703</v>
      </c>
      <c r="T328">
        <f>23.5/2</f>
        <v>11.75</v>
      </c>
      <c r="U328" s="2">
        <f>Table1[[#This Row],[Coal Power Plant Size (MW) or Share]]*0.593*9057*211.9*10^(-9)</f>
        <v>1.3372354599825002E-2</v>
      </c>
      <c r="V328" s="2">
        <f>Table1[[#This Row],[Annual Emissions (MMTCO2)]]*40</f>
        <v>0.53489418399300004</v>
      </c>
      <c r="W328"/>
      <c r="X328">
        <f>23.5/2</f>
        <v>11.75</v>
      </c>
      <c r="Y328"/>
      <c r="Z328" s="1"/>
      <c r="AA328" s="1"/>
    </row>
    <row r="329" spans="1:27" ht="27" hidden="1" customHeight="1">
      <c r="A329" t="s">
        <v>200</v>
      </c>
      <c r="B329" t="s">
        <v>222</v>
      </c>
      <c r="C329" t="s">
        <v>126</v>
      </c>
      <c r="D329" s="6">
        <v>0</v>
      </c>
      <c r="E329"/>
      <c r="F329"/>
      <c r="G329"/>
      <c r="H329" t="s">
        <v>1541</v>
      </c>
      <c r="I329" t="s">
        <v>1756</v>
      </c>
      <c r="J329" s="28">
        <v>42338</v>
      </c>
      <c r="K329" t="s">
        <v>993</v>
      </c>
      <c r="L329" t="s">
        <v>213</v>
      </c>
      <c r="M329"/>
      <c r="N329"/>
      <c r="O329"/>
      <c r="P329"/>
      <c r="Q329" t="s">
        <v>634</v>
      </c>
      <c r="R329" t="s">
        <v>636</v>
      </c>
      <c r="S329" t="s">
        <v>703</v>
      </c>
      <c r="T329">
        <f>200/3</f>
        <v>66.666666666666671</v>
      </c>
      <c r="U329" s="2">
        <f>Table1[[#This Row],[Coal Power Plant Size (MW) or Share]]*0.593*9057*211.9*10^(-9)</f>
        <v>7.5871515459999997E-2</v>
      </c>
      <c r="V329" s="2">
        <f>Table1[[#This Row],[Annual Emissions (MMTCO2)]]*40</f>
        <v>3.0348606183999998</v>
      </c>
      <c r="W329"/>
      <c r="X329">
        <f>200/3</f>
        <v>66.666666666666671</v>
      </c>
      <c r="Y329"/>
      <c r="Z329" s="1"/>
      <c r="AA329" s="1"/>
    </row>
    <row r="330" spans="1:27" s="25" customFormat="1" ht="27" hidden="1" customHeight="1">
      <c r="A330" t="s">
        <v>200</v>
      </c>
      <c r="B330" t="s">
        <v>222</v>
      </c>
      <c r="C330" t="s">
        <v>126</v>
      </c>
      <c r="D330" s="6">
        <v>108150000</v>
      </c>
      <c r="E330"/>
      <c r="F330"/>
      <c r="G330"/>
      <c r="H330" t="s">
        <v>1528</v>
      </c>
      <c r="I330" t="s">
        <v>1764</v>
      </c>
      <c r="J330" s="28">
        <v>42502</v>
      </c>
      <c r="K330" t="s">
        <v>992</v>
      </c>
      <c r="L330" t="s">
        <v>392</v>
      </c>
      <c r="M330" t="s">
        <v>1529</v>
      </c>
      <c r="N330"/>
      <c r="O330"/>
      <c r="P330"/>
      <c r="Q330" t="s">
        <v>634</v>
      </c>
      <c r="R330" t="s">
        <v>1469</v>
      </c>
      <c r="S330" t="s">
        <v>703</v>
      </c>
      <c r="T330">
        <v>402</v>
      </c>
      <c r="U330" s="2">
        <f>Table1[[#This Row],[Coal Power Plant Size (MW) or Share]]*0.593*9057*211.9*10^(-9)</f>
        <v>0.45750523822380001</v>
      </c>
      <c r="V330" s="2">
        <f>Table1[[#This Row],[Annual Emissions (MMTCO2)]]*40</f>
        <v>18.300209528951999</v>
      </c>
      <c r="W330"/>
      <c r="X330">
        <v>402</v>
      </c>
      <c r="Y330"/>
    </row>
    <row r="331" spans="1:27" ht="27" hidden="1" customHeight="1">
      <c r="A331" t="s">
        <v>200</v>
      </c>
      <c r="B331" t="s">
        <v>222</v>
      </c>
      <c r="C331" t="s">
        <v>126</v>
      </c>
      <c r="D331" s="6">
        <v>47600000</v>
      </c>
      <c r="E331"/>
      <c r="F331"/>
      <c r="G331"/>
      <c r="H331" t="s">
        <v>1507</v>
      </c>
      <c r="I331" t="s">
        <v>1758</v>
      </c>
      <c r="J331" s="28">
        <v>42510</v>
      </c>
      <c r="K331" t="s">
        <v>992</v>
      </c>
      <c r="L331" t="s">
        <v>392</v>
      </c>
      <c r="M331" t="s">
        <v>1508</v>
      </c>
      <c r="N331"/>
      <c r="O331"/>
      <c r="P331"/>
      <c r="Q331" t="s">
        <v>634</v>
      </c>
      <c r="R331" t="s">
        <v>1469</v>
      </c>
      <c r="S331" t="s">
        <v>703</v>
      </c>
      <c r="T331">
        <f>588/9</f>
        <v>65.333333333333329</v>
      </c>
      <c r="U331" s="2">
        <f>Table1[[#This Row],[Coal Power Plant Size (MW) or Share]]*0.593*9057*211.9*10^(-9)</f>
        <v>7.4354085150800012E-2</v>
      </c>
      <c r="V331" s="2">
        <f>Table1[[#This Row],[Annual Emissions (MMTCO2)]]*40</f>
        <v>2.9741634060320004</v>
      </c>
      <c r="W331"/>
      <c r="X331">
        <f>588/9</f>
        <v>65.333333333333329</v>
      </c>
      <c r="Y331"/>
      <c r="Z331" s="1"/>
      <c r="AA331" s="1"/>
    </row>
    <row r="332" spans="1:27" ht="27" hidden="1" customHeight="1">
      <c r="A332" t="s">
        <v>200</v>
      </c>
      <c r="B332" t="s">
        <v>222</v>
      </c>
      <c r="C332" t="s">
        <v>126</v>
      </c>
      <c r="D332" s="6">
        <v>13440000</v>
      </c>
      <c r="E332"/>
      <c r="F332"/>
      <c r="G332"/>
      <c r="H332" t="s">
        <v>1507</v>
      </c>
      <c r="I332" t="s">
        <v>1758</v>
      </c>
      <c r="J332" s="28">
        <v>42510</v>
      </c>
      <c r="K332" t="s">
        <v>992</v>
      </c>
      <c r="L332" t="s">
        <v>392</v>
      </c>
      <c r="M332" t="s">
        <v>1508</v>
      </c>
      <c r="N332"/>
      <c r="O332"/>
      <c r="P332"/>
      <c r="Q332" t="s">
        <v>634</v>
      </c>
      <c r="R332" t="s">
        <v>1469</v>
      </c>
      <c r="S332" t="s">
        <v>703</v>
      </c>
      <c r="T332">
        <f>588/9</f>
        <v>65.333333333333329</v>
      </c>
      <c r="U332" s="2">
        <f>Table1[[#This Row],[Coal Power Plant Size (MW) or Share]]*0.593*9057*211.9*10^(-9)</f>
        <v>7.4354085150800012E-2</v>
      </c>
      <c r="V332" s="2">
        <f>Table1[[#This Row],[Annual Emissions (MMTCO2)]]*40</f>
        <v>2.9741634060320004</v>
      </c>
      <c r="W332"/>
      <c r="X332">
        <f>588/9</f>
        <v>65.333333333333329</v>
      </c>
      <c r="Y332"/>
      <c r="Z332" s="1"/>
      <c r="AA332" s="1"/>
    </row>
    <row r="333" spans="1:27" ht="27" hidden="1" customHeight="1">
      <c r="A333" t="s">
        <v>200</v>
      </c>
      <c r="B333" t="s">
        <v>222</v>
      </c>
      <c r="C333" t="s">
        <v>126</v>
      </c>
      <c r="D333" s="6">
        <v>12200000</v>
      </c>
      <c r="E333"/>
      <c r="F333"/>
      <c r="G333"/>
      <c r="H333" t="s">
        <v>1507</v>
      </c>
      <c r="I333" t="s">
        <v>1758</v>
      </c>
      <c r="J333" s="28">
        <v>42510</v>
      </c>
      <c r="K333" t="s">
        <v>992</v>
      </c>
      <c r="L333" t="s">
        <v>392</v>
      </c>
      <c r="M333" t="s">
        <v>1508</v>
      </c>
      <c r="N333"/>
      <c r="O333"/>
      <c r="P333"/>
      <c r="Q333" t="s">
        <v>634</v>
      </c>
      <c r="R333" t="s">
        <v>1469</v>
      </c>
      <c r="S333" t="s">
        <v>703</v>
      </c>
      <c r="T333">
        <f>588/9</f>
        <v>65.333333333333329</v>
      </c>
      <c r="U333" s="2">
        <f>Table1[[#This Row],[Coal Power Plant Size (MW) or Share]]*0.593*9057*211.9*10^(-9)</f>
        <v>7.4354085150800012E-2</v>
      </c>
      <c r="V333" s="2">
        <f>Table1[[#This Row],[Annual Emissions (MMTCO2)]]*40</f>
        <v>2.9741634060320004</v>
      </c>
      <c r="W333"/>
      <c r="X333">
        <f>588/9</f>
        <v>65.333333333333329</v>
      </c>
      <c r="Y333"/>
      <c r="Z333" s="1"/>
      <c r="AA333" s="1"/>
    </row>
    <row r="334" spans="1:27" ht="27" hidden="1" customHeight="1">
      <c r="A334" t="s">
        <v>200</v>
      </c>
      <c r="B334" t="s">
        <v>222</v>
      </c>
      <c r="C334" t="s">
        <v>126</v>
      </c>
      <c r="D334" s="6">
        <v>4740000</v>
      </c>
      <c r="E334"/>
      <c r="F334"/>
      <c r="G334"/>
      <c r="H334" t="s">
        <v>1507</v>
      </c>
      <c r="I334" t="s">
        <v>1758</v>
      </c>
      <c r="J334" s="28">
        <v>42510</v>
      </c>
      <c r="K334" t="s">
        <v>992</v>
      </c>
      <c r="L334" t="s">
        <v>392</v>
      </c>
      <c r="M334" t="s">
        <v>1508</v>
      </c>
      <c r="N334"/>
      <c r="O334"/>
      <c r="P334"/>
      <c r="Q334" t="s">
        <v>634</v>
      </c>
      <c r="R334" t="s">
        <v>1469</v>
      </c>
      <c r="S334" t="s">
        <v>703</v>
      </c>
      <c r="T334">
        <f>588/9</f>
        <v>65.333333333333329</v>
      </c>
      <c r="U334" s="2">
        <f>Table1[[#This Row],[Coal Power Plant Size (MW) or Share]]*0.593*9057*211.9*10^(-9)</f>
        <v>7.4354085150800012E-2</v>
      </c>
      <c r="V334" s="2">
        <f>Table1[[#This Row],[Annual Emissions (MMTCO2)]]*40</f>
        <v>2.9741634060320004</v>
      </c>
      <c r="W334"/>
      <c r="X334">
        <f>588/9</f>
        <v>65.333333333333329</v>
      </c>
      <c r="Y334"/>
      <c r="Z334" s="1"/>
      <c r="AA334" s="1"/>
    </row>
    <row r="335" spans="1:27" ht="27" hidden="1" customHeight="1">
      <c r="A335" t="s">
        <v>200</v>
      </c>
      <c r="B335" t="s">
        <v>222</v>
      </c>
      <c r="C335" t="s">
        <v>126</v>
      </c>
      <c r="D335" s="6">
        <v>4040000</v>
      </c>
      <c r="E335"/>
      <c r="F335"/>
      <c r="G335"/>
      <c r="H335" t="s">
        <v>1507</v>
      </c>
      <c r="I335" t="s">
        <v>1758</v>
      </c>
      <c r="J335" s="28">
        <v>42510</v>
      </c>
      <c r="K335" t="s">
        <v>992</v>
      </c>
      <c r="L335" t="s">
        <v>392</v>
      </c>
      <c r="M335" t="s">
        <v>1508</v>
      </c>
      <c r="N335"/>
      <c r="O335"/>
      <c r="P335"/>
      <c r="Q335" t="s">
        <v>634</v>
      </c>
      <c r="R335" t="s">
        <v>1469</v>
      </c>
      <c r="S335" t="s">
        <v>703</v>
      </c>
      <c r="T335">
        <f>588/9</f>
        <v>65.333333333333329</v>
      </c>
      <c r="U335" s="2">
        <f>Table1[[#This Row],[Coal Power Plant Size (MW) or Share]]*0.593*9057*211.9*10^(-9)</f>
        <v>7.4354085150800012E-2</v>
      </c>
      <c r="V335" s="2">
        <f>Table1[[#This Row],[Annual Emissions (MMTCO2)]]*40</f>
        <v>2.9741634060320004</v>
      </c>
      <c r="W335"/>
      <c r="X335">
        <f>588/9</f>
        <v>65.333333333333329</v>
      </c>
      <c r="Y335"/>
      <c r="Z335" s="1"/>
      <c r="AA335" s="1"/>
    </row>
    <row r="336" spans="1:27" ht="27" hidden="1" customHeight="1">
      <c r="A336" t="s">
        <v>200</v>
      </c>
      <c r="B336" t="s">
        <v>222</v>
      </c>
      <c r="C336" t="s">
        <v>126</v>
      </c>
      <c r="D336" s="6">
        <v>1240000</v>
      </c>
      <c r="E336"/>
      <c r="F336"/>
      <c r="G336"/>
      <c r="H336" t="s">
        <v>1507</v>
      </c>
      <c r="I336" t="s">
        <v>1758</v>
      </c>
      <c r="J336" s="28">
        <v>42510</v>
      </c>
      <c r="K336" t="s">
        <v>992</v>
      </c>
      <c r="L336" t="s">
        <v>392</v>
      </c>
      <c r="M336" t="s">
        <v>1508</v>
      </c>
      <c r="N336"/>
      <c r="O336"/>
      <c r="P336"/>
      <c r="Q336" t="s">
        <v>634</v>
      </c>
      <c r="R336" t="s">
        <v>1469</v>
      </c>
      <c r="S336" t="s">
        <v>703</v>
      </c>
      <c r="T336">
        <f>588/9</f>
        <v>65.333333333333329</v>
      </c>
      <c r="U336" s="2">
        <f>Table1[[#This Row],[Coal Power Plant Size (MW) or Share]]*0.593*9057*211.9*10^(-9)</f>
        <v>7.4354085150800012E-2</v>
      </c>
      <c r="V336" s="2">
        <f>Table1[[#This Row],[Annual Emissions (MMTCO2)]]*40</f>
        <v>2.9741634060320004</v>
      </c>
      <c r="W336"/>
      <c r="X336">
        <f>588/9</f>
        <v>65.333333333333329</v>
      </c>
      <c r="Y336"/>
      <c r="Z336" s="1"/>
      <c r="AA336" s="1"/>
    </row>
    <row r="337" spans="1:27" ht="27" hidden="1" customHeight="1">
      <c r="A337" t="s">
        <v>200</v>
      </c>
      <c r="B337" t="s">
        <v>222</v>
      </c>
      <c r="C337" t="s">
        <v>126</v>
      </c>
      <c r="D337" s="6">
        <v>3600000</v>
      </c>
      <c r="E337"/>
      <c r="F337"/>
      <c r="G337"/>
      <c r="H337" t="s">
        <v>1507</v>
      </c>
      <c r="I337" t="s">
        <v>1758</v>
      </c>
      <c r="J337" s="28">
        <v>42510</v>
      </c>
      <c r="K337" t="s">
        <v>992</v>
      </c>
      <c r="L337" t="s">
        <v>392</v>
      </c>
      <c r="M337" t="s">
        <v>1508</v>
      </c>
      <c r="N337"/>
      <c r="O337"/>
      <c r="P337"/>
      <c r="Q337" t="s">
        <v>634</v>
      </c>
      <c r="R337" t="s">
        <v>1469</v>
      </c>
      <c r="S337" t="s">
        <v>703</v>
      </c>
      <c r="T337">
        <f>588/9</f>
        <v>65.333333333333329</v>
      </c>
      <c r="U337" s="2">
        <f>Table1[[#This Row],[Coal Power Plant Size (MW) or Share]]*0.593*9057*211.9*10^(-9)</f>
        <v>7.4354085150800012E-2</v>
      </c>
      <c r="V337" s="2">
        <f>Table1[[#This Row],[Annual Emissions (MMTCO2)]]*40</f>
        <v>2.9741634060320004</v>
      </c>
      <c r="W337"/>
      <c r="X337">
        <f>588/9</f>
        <v>65.333333333333329</v>
      </c>
      <c r="Y337"/>
      <c r="Z337" s="1"/>
      <c r="AA337" s="1"/>
    </row>
    <row r="338" spans="1:27" ht="27" hidden="1" customHeight="1">
      <c r="A338" t="s">
        <v>200</v>
      </c>
      <c r="B338" t="s">
        <v>222</v>
      </c>
      <c r="C338" t="s">
        <v>126</v>
      </c>
      <c r="D338" s="6">
        <v>63980000</v>
      </c>
      <c r="E338"/>
      <c r="F338"/>
      <c r="G338"/>
      <c r="H338" t="s">
        <v>1555</v>
      </c>
      <c r="I338" t="s">
        <v>1912</v>
      </c>
      <c r="J338" s="28">
        <v>42549</v>
      </c>
      <c r="K338" t="s">
        <v>1130</v>
      </c>
      <c r="L338" t="s">
        <v>86</v>
      </c>
      <c r="M338" t="s">
        <v>1556</v>
      </c>
      <c r="N338"/>
      <c r="O338"/>
      <c r="P338"/>
      <c r="Q338" t="s">
        <v>634</v>
      </c>
      <c r="R338" t="s">
        <v>636</v>
      </c>
      <c r="S338" t="s">
        <v>703</v>
      </c>
      <c r="T338">
        <v>100</v>
      </c>
      <c r="U338" s="2">
        <f>Table1[[#This Row],[Coal Power Plant Size (MW) or Share]]*0.593*9057*211.9*10^(-9)</f>
        <v>0.11380727319</v>
      </c>
      <c r="V338" s="2">
        <f>Table1[[#This Row],[Annual Emissions (MMTCO2)]]*40</f>
        <v>4.5522909275999996</v>
      </c>
      <c r="W338"/>
      <c r="X338">
        <v>100</v>
      </c>
      <c r="Y338"/>
      <c r="Z338" s="1"/>
      <c r="AA338" s="1"/>
    </row>
    <row r="339" spans="1:27" ht="27" hidden="1" customHeight="1">
      <c r="A339" t="s">
        <v>200</v>
      </c>
      <c r="B339" t="s">
        <v>1741</v>
      </c>
      <c r="C339" t="s">
        <v>2030</v>
      </c>
      <c r="D339" s="6">
        <v>77240000</v>
      </c>
      <c r="E339"/>
      <c r="F339"/>
      <c r="G339"/>
      <c r="H339" t="s">
        <v>1655</v>
      </c>
      <c r="I339" t="s">
        <v>1911</v>
      </c>
      <c r="J339" s="28">
        <v>42646</v>
      </c>
      <c r="K339" t="s">
        <v>992</v>
      </c>
      <c r="L339" t="s">
        <v>1512</v>
      </c>
      <c r="M339"/>
      <c r="N339"/>
      <c r="O339"/>
      <c r="P339"/>
      <c r="Q339" t="s">
        <v>634</v>
      </c>
      <c r="R339" t="s">
        <v>1469</v>
      </c>
      <c r="S339" t="s">
        <v>703</v>
      </c>
      <c r="T339">
        <f>309/3</f>
        <v>103</v>
      </c>
      <c r="U339" s="2">
        <f>Table1[[#This Row],[Coal Power Plant Size (MW) or Share]]*0.593*9057*211.9*10^(-9)</f>
        <v>0.1172214913857</v>
      </c>
      <c r="V339" s="2">
        <f>Table1[[#This Row],[Annual Emissions (MMTCO2)]]*40</f>
        <v>4.6888596554279998</v>
      </c>
      <c r="W339"/>
      <c r="X339">
        <f>309/3</f>
        <v>103</v>
      </c>
      <c r="Y339"/>
      <c r="Z339" s="1"/>
      <c r="AA339" s="1"/>
    </row>
    <row r="340" spans="1:27" ht="27" hidden="1" customHeight="1">
      <c r="A340" t="s">
        <v>200</v>
      </c>
      <c r="B340" t="s">
        <v>220</v>
      </c>
      <c r="C340" t="s">
        <v>126</v>
      </c>
      <c r="D340" s="6">
        <v>17500000</v>
      </c>
      <c r="E340" t="s">
        <v>571</v>
      </c>
      <c r="F340"/>
      <c r="G340"/>
      <c r="H340" t="s">
        <v>591</v>
      </c>
      <c r="I340" t="s">
        <v>653</v>
      </c>
      <c r="J340" s="28">
        <v>42676</v>
      </c>
      <c r="K340" t="s">
        <v>989</v>
      </c>
      <c r="L340" t="s">
        <v>78</v>
      </c>
      <c r="M340"/>
      <c r="N340"/>
      <c r="O340"/>
      <c r="P340"/>
      <c r="Q340" t="s">
        <v>634</v>
      </c>
      <c r="R340" t="s">
        <v>636</v>
      </c>
      <c r="S340" t="s">
        <v>703</v>
      </c>
      <c r="T340">
        <v>37.5</v>
      </c>
      <c r="U340" s="2">
        <f>Table1[[#This Row],[Coal Power Plant Size (MW) or Share]]*0.593*9057*211.9*10^(-9)</f>
        <v>4.2677727446250001E-2</v>
      </c>
      <c r="V340" s="2">
        <f>Table1[[#This Row],[Annual Emissions (MMTCO2)]]*40</f>
        <v>1.7071090978500001</v>
      </c>
      <c r="W340"/>
      <c r="X340">
        <v>37.5</v>
      </c>
      <c r="Y340"/>
      <c r="Z340" s="1"/>
      <c r="AA340" s="1"/>
    </row>
    <row r="341" spans="1:27" ht="27" hidden="1" customHeight="1">
      <c r="A341" t="s">
        <v>200</v>
      </c>
      <c r="B341" t="s">
        <v>1740</v>
      </c>
      <c r="C341" t="s">
        <v>126</v>
      </c>
      <c r="D341" s="6">
        <v>19420000</v>
      </c>
      <c r="E341"/>
      <c r="F341"/>
      <c r="G341"/>
      <c r="H341" t="s">
        <v>1492</v>
      </c>
      <c r="I341" t="s">
        <v>1914</v>
      </c>
      <c r="J341" s="28">
        <v>42681</v>
      </c>
      <c r="K341" t="s">
        <v>993</v>
      </c>
      <c r="L341" t="s">
        <v>1478</v>
      </c>
      <c r="M341"/>
      <c r="N341"/>
      <c r="O341"/>
      <c r="P341"/>
      <c r="Q341" t="s">
        <v>634</v>
      </c>
      <c r="R341" t="s">
        <v>636</v>
      </c>
      <c r="S341" t="s">
        <v>703</v>
      </c>
      <c r="T341">
        <f>82/2</f>
        <v>41</v>
      </c>
      <c r="U341" s="2">
        <f>Table1[[#This Row],[Coal Power Plant Size (MW) or Share]]*0.593*9057*211.9*10^(-9)</f>
        <v>4.6660982007900004E-2</v>
      </c>
      <c r="V341" s="2">
        <f>Table1[[#This Row],[Annual Emissions (MMTCO2)]]*40</f>
        <v>1.8664392803160001</v>
      </c>
      <c r="W341"/>
      <c r="X341">
        <f>82/2</f>
        <v>41</v>
      </c>
      <c r="Y341"/>
      <c r="Z341" s="1"/>
      <c r="AA341" s="1"/>
    </row>
    <row r="342" spans="1:27" ht="27" hidden="1" customHeight="1">
      <c r="A342" t="s">
        <v>200</v>
      </c>
      <c r="B342" t="s">
        <v>1741</v>
      </c>
      <c r="C342" t="s">
        <v>126</v>
      </c>
      <c r="D342" s="6">
        <v>49250000</v>
      </c>
      <c r="E342"/>
      <c r="F342"/>
      <c r="G342"/>
      <c r="H342" t="s">
        <v>1509</v>
      </c>
      <c r="I342" t="s">
        <v>1852</v>
      </c>
      <c r="J342" s="28">
        <v>42689</v>
      </c>
      <c r="K342" t="s">
        <v>1450</v>
      </c>
      <c r="L342" t="s">
        <v>123</v>
      </c>
      <c r="M342" t="s">
        <v>1510</v>
      </c>
      <c r="N342"/>
      <c r="O342"/>
      <c r="P342"/>
      <c r="Q342" t="s">
        <v>634</v>
      </c>
      <c r="R342" t="s">
        <v>636</v>
      </c>
      <c r="S342" t="s">
        <v>703</v>
      </c>
      <c r="T342">
        <f>100/4</f>
        <v>25</v>
      </c>
      <c r="U342" s="2">
        <f>Table1[[#This Row],[Coal Power Plant Size (MW) or Share]]*0.593*9057*211.9*10^(-9)</f>
        <v>2.8451818297500001E-2</v>
      </c>
      <c r="V342" s="2">
        <f>Table1[[#This Row],[Annual Emissions (MMTCO2)]]*40</f>
        <v>1.1380727318999999</v>
      </c>
      <c r="W342"/>
      <c r="X342">
        <f>100/4</f>
        <v>25</v>
      </c>
      <c r="Y342"/>
      <c r="Z342" s="1"/>
      <c r="AA342" s="1"/>
    </row>
    <row r="343" spans="1:27" ht="27" hidden="1" customHeight="1">
      <c r="A343" t="s">
        <v>200</v>
      </c>
      <c r="B343" t="s">
        <v>1741</v>
      </c>
      <c r="C343" t="s">
        <v>126</v>
      </c>
      <c r="D343" s="6">
        <v>2430000</v>
      </c>
      <c r="E343"/>
      <c r="F343"/>
      <c r="G343"/>
      <c r="H343" t="s">
        <v>1509</v>
      </c>
      <c r="I343" t="s">
        <v>1852</v>
      </c>
      <c r="J343" s="28">
        <v>42689</v>
      </c>
      <c r="K343" t="s">
        <v>1450</v>
      </c>
      <c r="L343" t="s">
        <v>123</v>
      </c>
      <c r="M343" t="s">
        <v>1510</v>
      </c>
      <c r="N343"/>
      <c r="O343"/>
      <c r="P343"/>
      <c r="Q343" t="s">
        <v>634</v>
      </c>
      <c r="R343" t="s">
        <v>636</v>
      </c>
      <c r="S343" t="s">
        <v>703</v>
      </c>
      <c r="T343">
        <f>100/4</f>
        <v>25</v>
      </c>
      <c r="U343" s="2">
        <f>Table1[[#This Row],[Coal Power Plant Size (MW) or Share]]*0.593*9057*211.9*10^(-9)</f>
        <v>2.8451818297500001E-2</v>
      </c>
      <c r="V343" s="2">
        <f>Table1[[#This Row],[Annual Emissions (MMTCO2)]]*40</f>
        <v>1.1380727318999999</v>
      </c>
      <c r="W343"/>
      <c r="X343">
        <f>100/4</f>
        <v>25</v>
      </c>
      <c r="Y343"/>
      <c r="Z343" s="1"/>
      <c r="AA343" s="1"/>
    </row>
    <row r="344" spans="1:27" ht="27" hidden="1" customHeight="1">
      <c r="A344" t="s">
        <v>200</v>
      </c>
      <c r="B344" t="s">
        <v>220</v>
      </c>
      <c r="C344" t="s">
        <v>126</v>
      </c>
      <c r="D344" s="6">
        <v>76400000</v>
      </c>
      <c r="E344" t="s">
        <v>793</v>
      </c>
      <c r="F344"/>
      <c r="G344"/>
      <c r="H344" t="s">
        <v>794</v>
      </c>
      <c r="I344" t="s">
        <v>795</v>
      </c>
      <c r="J344" s="28">
        <v>42706</v>
      </c>
      <c r="K344" t="s">
        <v>993</v>
      </c>
      <c r="L344" t="s">
        <v>213</v>
      </c>
      <c r="M344"/>
      <c r="N344" t="s">
        <v>796</v>
      </c>
      <c r="O344"/>
      <c r="P344"/>
      <c r="Q344" t="s">
        <v>634</v>
      </c>
      <c r="R344" t="s">
        <v>636</v>
      </c>
      <c r="S344" t="s">
        <v>703</v>
      </c>
      <c r="T344">
        <v>225</v>
      </c>
      <c r="U344" s="2">
        <f>Table1[[#This Row],[Coal Power Plant Size (MW) or Share]]*0.593*9057*211.9*10^(-9)</f>
        <v>0.25606636467749999</v>
      </c>
      <c r="V344" s="2">
        <f>Table1[[#This Row],[Annual Emissions (MMTCO2)]]*40</f>
        <v>10.242654587099999</v>
      </c>
      <c r="W344"/>
      <c r="X344">
        <v>225</v>
      </c>
      <c r="Y344"/>
      <c r="Z344" s="1"/>
      <c r="AA344" s="1"/>
    </row>
    <row r="345" spans="1:27" ht="27" hidden="1" customHeight="1">
      <c r="A345" t="s">
        <v>200</v>
      </c>
      <c r="B345" t="s">
        <v>222</v>
      </c>
      <c r="C345" t="s">
        <v>126</v>
      </c>
      <c r="D345" s="6">
        <f>1970000+45350000</f>
        <v>47320000</v>
      </c>
      <c r="E345" t="s">
        <v>2008</v>
      </c>
      <c r="F345"/>
      <c r="G345"/>
      <c r="H345" t="s">
        <v>2006</v>
      </c>
      <c r="I345" t="s">
        <v>2007</v>
      </c>
      <c r="J345" s="28">
        <v>42859</v>
      </c>
      <c r="K345" t="s">
        <v>1450</v>
      </c>
      <c r="L345" t="s">
        <v>123</v>
      </c>
      <c r="M345" t="s">
        <v>1510</v>
      </c>
      <c r="N345"/>
      <c r="O345"/>
      <c r="P345"/>
      <c r="Q345" t="s">
        <v>634</v>
      </c>
      <c r="R345" t="s">
        <v>636</v>
      </c>
      <c r="S345" t="s">
        <v>703</v>
      </c>
      <c r="T345">
        <f>100/9</f>
        <v>11.111111111111111</v>
      </c>
      <c r="U345" s="2">
        <f>Table1[[#This Row],[Coal Power Plant Size (MW) or Share]]*0.593*9057*211.9*10^(-9)</f>
        <v>1.2645252576666667E-2</v>
      </c>
      <c r="V345" s="2">
        <f>Table1[[#This Row],[Annual Emissions (MMTCO2)]]*40</f>
        <v>0.50581010306666663</v>
      </c>
      <c r="W345"/>
      <c r="X345">
        <f>100/9</f>
        <v>11.111111111111111</v>
      </c>
      <c r="Y345"/>
      <c r="Z345" s="1"/>
      <c r="AA345" s="1"/>
    </row>
    <row r="346" spans="1:27" ht="27" hidden="1" customHeight="1">
      <c r="A346" t="s">
        <v>200</v>
      </c>
      <c r="B346" t="s">
        <v>1740</v>
      </c>
      <c r="C346" t="s">
        <v>126</v>
      </c>
      <c r="D346" s="6">
        <v>40000000</v>
      </c>
      <c r="E346"/>
      <c r="F346"/>
      <c r="G346"/>
      <c r="H346" t="s">
        <v>1636</v>
      </c>
      <c r="I346" t="s">
        <v>1934</v>
      </c>
      <c r="J346" s="28">
        <v>54789</v>
      </c>
      <c r="K346" t="s">
        <v>1482</v>
      </c>
      <c r="L346" t="s">
        <v>49</v>
      </c>
      <c r="M346"/>
      <c r="N346"/>
      <c r="O346"/>
      <c r="P346"/>
      <c r="Q346" t="s">
        <v>634</v>
      </c>
      <c r="R346" t="s">
        <v>635</v>
      </c>
      <c r="S346" t="s">
        <v>476</v>
      </c>
      <c r="T346">
        <v>75</v>
      </c>
      <c r="U346" s="2">
        <f>Table1[[#This Row],[Coal Power Plant Size (MW) or Share]]*0.593*9057*211.9*10^(-9)</f>
        <v>8.5355454892500002E-2</v>
      </c>
      <c r="V346" s="2">
        <f>Table1[[#This Row],[Annual Emissions (MMTCO2)]]*40</f>
        <v>3.4142181957000002</v>
      </c>
      <c r="W346"/>
      <c r="X346">
        <v>75</v>
      </c>
      <c r="Y346"/>
      <c r="Z346" s="1"/>
      <c r="AA346" s="1"/>
    </row>
    <row r="347" spans="1:27" ht="27" hidden="1" customHeight="1">
      <c r="A347" t="s">
        <v>200</v>
      </c>
      <c r="B347" t="s">
        <v>1753</v>
      </c>
      <c r="C347" t="s">
        <v>126</v>
      </c>
      <c r="D347" s="6">
        <v>57000000</v>
      </c>
      <c r="E347"/>
      <c r="F347"/>
      <c r="G347"/>
      <c r="H347" t="s">
        <v>1712</v>
      </c>
      <c r="I347" t="s">
        <v>1919</v>
      </c>
      <c r="J347" s="28">
        <v>54789</v>
      </c>
      <c r="K347" t="s">
        <v>993</v>
      </c>
      <c r="L347" t="s">
        <v>213</v>
      </c>
      <c r="M347"/>
      <c r="N347"/>
      <c r="O347"/>
      <c r="P347"/>
      <c r="Q347" t="s">
        <v>634</v>
      </c>
      <c r="R347" t="s">
        <v>1474</v>
      </c>
      <c r="S347" t="s">
        <v>1486</v>
      </c>
      <c r="T347">
        <f>100/7</f>
        <v>14.285714285714286</v>
      </c>
      <c r="U347" s="2">
        <f>Table1[[#This Row],[Coal Power Plant Size (MW) or Share]]*0.593*9057*211.9*10^(-9)</f>
        <v>1.6258181884285714E-2</v>
      </c>
      <c r="V347" s="2">
        <f>Table1[[#This Row],[Annual Emissions (MMTCO2)]]*40</f>
        <v>0.65032727537142854</v>
      </c>
      <c r="W347"/>
      <c r="X347">
        <f>100/7</f>
        <v>14.285714285714286</v>
      </c>
      <c r="Y347"/>
      <c r="Z347" s="1"/>
      <c r="AA347" s="1"/>
    </row>
    <row r="348" spans="1:27" ht="27" hidden="1" customHeight="1">
      <c r="A348" t="s">
        <v>200</v>
      </c>
      <c r="B348" t="s">
        <v>222</v>
      </c>
      <c r="C348" t="s">
        <v>126</v>
      </c>
      <c r="D348" s="6">
        <v>86670000</v>
      </c>
      <c r="E348"/>
      <c r="F348"/>
      <c r="G348"/>
      <c r="H348" t="s">
        <v>1479</v>
      </c>
      <c r="I348" t="s">
        <v>1917</v>
      </c>
      <c r="J348" s="28">
        <v>54789</v>
      </c>
      <c r="K348" t="s">
        <v>990</v>
      </c>
      <c r="L348" t="s">
        <v>20</v>
      </c>
      <c r="M348"/>
      <c r="N348"/>
      <c r="O348"/>
      <c r="P348"/>
      <c r="Q348" t="s">
        <v>634</v>
      </c>
      <c r="R348" t="s">
        <v>636</v>
      </c>
      <c r="S348" t="s">
        <v>476</v>
      </c>
      <c r="T348">
        <f>299/2</f>
        <v>149.5</v>
      </c>
      <c r="U348" s="2">
        <f>Table1[[#This Row],[Coal Power Plant Size (MW) or Share]]*0.593*9057*211.9*10^(-9)</f>
        <v>0.17014187341904999</v>
      </c>
      <c r="V348" s="2">
        <f>Table1[[#This Row],[Annual Emissions (MMTCO2)]]*40</f>
        <v>6.8056749367619993</v>
      </c>
      <c r="W348"/>
      <c r="X348">
        <f>299/2</f>
        <v>149.5</v>
      </c>
      <c r="Y348"/>
      <c r="Z348" s="1"/>
      <c r="AA348" s="1"/>
    </row>
    <row r="349" spans="1:27" ht="27" hidden="1" customHeight="1">
      <c r="A349" t="s">
        <v>200</v>
      </c>
      <c r="B349" t="s">
        <v>222</v>
      </c>
      <c r="C349" t="s">
        <v>126</v>
      </c>
      <c r="D349" s="6">
        <v>0</v>
      </c>
      <c r="E349"/>
      <c r="F349"/>
      <c r="G349"/>
      <c r="H349" t="s">
        <v>1472</v>
      </c>
      <c r="I349" t="s">
        <v>1885</v>
      </c>
      <c r="J349" s="28">
        <v>54789</v>
      </c>
      <c r="K349" t="s">
        <v>990</v>
      </c>
      <c r="L349" t="s">
        <v>20</v>
      </c>
      <c r="M349"/>
      <c r="N349"/>
      <c r="O349"/>
      <c r="P349"/>
      <c r="Q349" t="s">
        <v>634</v>
      </c>
      <c r="R349" t="s">
        <v>1473</v>
      </c>
      <c r="S349" t="s">
        <v>476</v>
      </c>
      <c r="T349">
        <f>210/3</f>
        <v>70</v>
      </c>
      <c r="U349" s="2">
        <f>Table1[[#This Row],[Coal Power Plant Size (MW) or Share]]*0.593*9057*211.9*10^(-9)</f>
        <v>7.9665091233000015E-2</v>
      </c>
      <c r="V349" s="2">
        <f>Table1[[#This Row],[Annual Emissions (MMTCO2)]]*40</f>
        <v>3.1866036493200007</v>
      </c>
      <c r="W349"/>
      <c r="X349">
        <f>210/3</f>
        <v>70</v>
      </c>
      <c r="Y349"/>
      <c r="Z349" s="1"/>
      <c r="AA349" s="1"/>
    </row>
    <row r="350" spans="1:27" ht="27" hidden="1" customHeight="1">
      <c r="A350" t="s">
        <v>200</v>
      </c>
      <c r="B350" t="s">
        <v>222</v>
      </c>
      <c r="C350" t="s">
        <v>126</v>
      </c>
      <c r="D350" s="6">
        <v>0</v>
      </c>
      <c r="E350"/>
      <c r="F350"/>
      <c r="G350"/>
      <c r="H350" t="s">
        <v>1527</v>
      </c>
      <c r="I350" t="s">
        <v>1868</v>
      </c>
      <c r="J350" s="28">
        <v>54789</v>
      </c>
      <c r="K350" t="s">
        <v>992</v>
      </c>
      <c r="L350" t="s">
        <v>104</v>
      </c>
      <c r="M350"/>
      <c r="N350"/>
      <c r="O350"/>
      <c r="P350"/>
      <c r="Q350" t="s">
        <v>634</v>
      </c>
      <c r="R350" t="s">
        <v>636</v>
      </c>
      <c r="S350" t="s">
        <v>476</v>
      </c>
      <c r="T350">
        <f>158/3</f>
        <v>52.666666666666664</v>
      </c>
      <c r="U350" s="2">
        <f>Table1[[#This Row],[Coal Power Plant Size (MW) or Share]]*0.593*9057*211.9*10^(-9)</f>
        <v>5.9938497213399999E-2</v>
      </c>
      <c r="V350" s="2">
        <f>Table1[[#This Row],[Annual Emissions (MMTCO2)]]*40</f>
        <v>2.397539888536</v>
      </c>
      <c r="W350"/>
      <c r="X350">
        <f>158/3</f>
        <v>52.666666666666664</v>
      </c>
      <c r="Y350"/>
      <c r="Z350" s="1"/>
      <c r="AA350" s="1"/>
    </row>
    <row r="351" spans="1:27" ht="27" hidden="1" customHeight="1">
      <c r="A351" t="s">
        <v>200</v>
      </c>
      <c r="B351" t="s">
        <v>222</v>
      </c>
      <c r="C351" t="s">
        <v>126</v>
      </c>
      <c r="D351" s="6">
        <v>100000000</v>
      </c>
      <c r="E351"/>
      <c r="F351"/>
      <c r="G351"/>
      <c r="H351" t="s">
        <v>1573</v>
      </c>
      <c r="I351" t="s">
        <v>1793</v>
      </c>
      <c r="J351" s="28">
        <v>54789</v>
      </c>
      <c r="K351" t="s">
        <v>1482</v>
      </c>
      <c r="L351" t="s">
        <v>31</v>
      </c>
      <c r="M351"/>
      <c r="N351"/>
      <c r="O351"/>
      <c r="P351"/>
      <c r="Q351" t="s">
        <v>634</v>
      </c>
      <c r="R351" t="s">
        <v>1474</v>
      </c>
      <c r="S351" t="s">
        <v>476</v>
      </c>
      <c r="T351">
        <f>100/6</f>
        <v>16.666666666666668</v>
      </c>
      <c r="U351" s="2">
        <f>Table1[[#This Row],[Coal Power Plant Size (MW) or Share]]*0.593*9057*211.9*10^(-9)</f>
        <v>1.8967878864999999E-2</v>
      </c>
      <c r="V351" s="2">
        <f>Table1[[#This Row],[Annual Emissions (MMTCO2)]]*40</f>
        <v>0.75871515459999994</v>
      </c>
      <c r="W351"/>
      <c r="X351">
        <f>100/6</f>
        <v>16.666666666666668</v>
      </c>
      <c r="Y351"/>
      <c r="Z351" s="1"/>
      <c r="AA351" s="1"/>
    </row>
    <row r="352" spans="1:27" ht="27" hidden="1" customHeight="1">
      <c r="A352" t="s">
        <v>200</v>
      </c>
      <c r="B352" t="s">
        <v>222</v>
      </c>
      <c r="C352" t="s">
        <v>126</v>
      </c>
      <c r="D352" s="6">
        <v>0</v>
      </c>
      <c r="E352"/>
      <c r="F352"/>
      <c r="G352"/>
      <c r="H352" t="s">
        <v>1604</v>
      </c>
      <c r="I352" t="s">
        <v>1898</v>
      </c>
      <c r="J352" s="28">
        <v>54789</v>
      </c>
      <c r="K352" t="s">
        <v>1482</v>
      </c>
      <c r="L352" t="s">
        <v>705</v>
      </c>
      <c r="M352"/>
      <c r="N352"/>
      <c r="O352"/>
      <c r="P352"/>
      <c r="Q352" t="s">
        <v>634</v>
      </c>
      <c r="R352" t="s">
        <v>636</v>
      </c>
      <c r="S352" t="s">
        <v>476</v>
      </c>
      <c r="T352">
        <f>100/2</f>
        <v>50</v>
      </c>
      <c r="U352" s="2">
        <f>Table1[[#This Row],[Coal Power Plant Size (MW) or Share]]*0.593*9057*211.9*10^(-9)</f>
        <v>5.6903636595000001E-2</v>
      </c>
      <c r="V352" s="2">
        <f>Table1[[#This Row],[Annual Emissions (MMTCO2)]]*40</f>
        <v>2.2761454637999998</v>
      </c>
      <c r="W352"/>
      <c r="X352">
        <f>100/2</f>
        <v>50</v>
      </c>
      <c r="Y352"/>
      <c r="Z352" s="1"/>
      <c r="AA352" s="1"/>
    </row>
    <row r="353" spans="1:27" ht="27" hidden="1" customHeight="1">
      <c r="A353" t="s">
        <v>200</v>
      </c>
      <c r="B353" t="s">
        <v>222</v>
      </c>
      <c r="C353" t="s">
        <v>126</v>
      </c>
      <c r="D353" s="6">
        <v>140440000</v>
      </c>
      <c r="E353"/>
      <c r="F353"/>
      <c r="G353"/>
      <c r="H353" t="s">
        <v>1631</v>
      </c>
      <c r="I353" t="s">
        <v>1815</v>
      </c>
      <c r="J353" s="28">
        <v>54789</v>
      </c>
      <c r="K353" t="s">
        <v>993</v>
      </c>
      <c r="L353" t="s">
        <v>166</v>
      </c>
      <c r="M353"/>
      <c r="N353"/>
      <c r="O353"/>
      <c r="P353"/>
      <c r="Q353" t="s">
        <v>634</v>
      </c>
      <c r="R353" t="s">
        <v>636</v>
      </c>
      <c r="S353" t="s">
        <v>476</v>
      </c>
      <c r="T353">
        <f>850/4</f>
        <v>212.5</v>
      </c>
      <c r="U353" s="2">
        <f>Table1[[#This Row],[Coal Power Plant Size (MW) or Share]]*0.593*9057*211.9*10^(-9)</f>
        <v>0.24184045552875</v>
      </c>
      <c r="V353" s="2">
        <f>Table1[[#This Row],[Annual Emissions (MMTCO2)]]*40</f>
        <v>9.6736182211500008</v>
      </c>
      <c r="W353"/>
      <c r="X353">
        <f>850/4</f>
        <v>212.5</v>
      </c>
      <c r="Y353"/>
      <c r="Z353" s="1"/>
      <c r="AA353" s="1"/>
    </row>
    <row r="354" spans="1:27" ht="27" hidden="1" customHeight="1">
      <c r="A354" t="s">
        <v>200</v>
      </c>
      <c r="B354" t="s">
        <v>222</v>
      </c>
      <c r="C354" t="s">
        <v>126</v>
      </c>
      <c r="D354" s="6">
        <v>763440000</v>
      </c>
      <c r="E354"/>
      <c r="F354"/>
      <c r="G354"/>
      <c r="H354" t="s">
        <v>1619</v>
      </c>
      <c r="I354" t="s">
        <v>1946</v>
      </c>
      <c r="J354" s="28">
        <v>54789</v>
      </c>
      <c r="K354" t="s">
        <v>993</v>
      </c>
      <c r="L354" t="s">
        <v>166</v>
      </c>
      <c r="M354"/>
      <c r="N354"/>
      <c r="O354"/>
      <c r="P354"/>
      <c r="Q354" t="s">
        <v>634</v>
      </c>
      <c r="R354" t="s">
        <v>1473</v>
      </c>
      <c r="S354" t="s">
        <v>1486</v>
      </c>
      <c r="T354">
        <v>800</v>
      </c>
      <c r="U354" s="2">
        <f>Table1[[#This Row],[Coal Power Plant Size (MW) or Share]]*0.593*9057*211.9*10^(-9)</f>
        <v>0.91045818552000002</v>
      </c>
      <c r="V354" s="2">
        <f>Table1[[#This Row],[Annual Emissions (MMTCO2)]]*40</f>
        <v>36.418327420799997</v>
      </c>
      <c r="W354"/>
      <c r="X354">
        <v>800</v>
      </c>
      <c r="Y354"/>
      <c r="Z354" s="1"/>
      <c r="AA354" s="1"/>
    </row>
    <row r="355" spans="1:27" ht="27" hidden="1" customHeight="1">
      <c r="A355" t="s">
        <v>200</v>
      </c>
      <c r="B355" t="s">
        <v>222</v>
      </c>
      <c r="C355" t="s">
        <v>126</v>
      </c>
      <c r="D355" s="6">
        <v>191250000</v>
      </c>
      <c r="E355"/>
      <c r="F355"/>
      <c r="G355"/>
      <c r="H355" t="s">
        <v>1489</v>
      </c>
      <c r="I355" t="s">
        <v>1879</v>
      </c>
      <c r="J355" s="28">
        <v>54789</v>
      </c>
      <c r="K355" t="s">
        <v>993</v>
      </c>
      <c r="L355" t="s">
        <v>166</v>
      </c>
      <c r="M355"/>
      <c r="N355"/>
      <c r="O355"/>
      <c r="P355"/>
      <c r="Q355" t="s">
        <v>634</v>
      </c>
      <c r="R355" t="s">
        <v>635</v>
      </c>
      <c r="S355" t="s">
        <v>476</v>
      </c>
      <c r="T355">
        <v>177</v>
      </c>
      <c r="U355" s="2">
        <f>Table1[[#This Row],[Coal Power Plant Size (MW) or Share]]*0.593*9057*211.9*10^(-9)</f>
        <v>0.2014388735463</v>
      </c>
      <c r="V355" s="2">
        <f>Table1[[#This Row],[Annual Emissions (MMTCO2)]]*40</f>
        <v>8.0575549418520005</v>
      </c>
      <c r="W355"/>
      <c r="X355">
        <v>177</v>
      </c>
      <c r="Y355"/>
      <c r="Z355" s="1"/>
      <c r="AA355" s="1"/>
    </row>
    <row r="356" spans="1:27" ht="27" hidden="1" customHeight="1">
      <c r="A356" t="s">
        <v>200</v>
      </c>
      <c r="B356" t="s">
        <v>222</v>
      </c>
      <c r="C356" t="s">
        <v>126</v>
      </c>
      <c r="D356" s="6">
        <v>182000000</v>
      </c>
      <c r="E356"/>
      <c r="F356"/>
      <c r="G356"/>
      <c r="H356" t="s">
        <v>1712</v>
      </c>
      <c r="I356" t="s">
        <v>1919</v>
      </c>
      <c r="J356" s="28">
        <v>54789</v>
      </c>
      <c r="K356" t="s">
        <v>993</v>
      </c>
      <c r="L356" t="s">
        <v>213</v>
      </c>
      <c r="M356"/>
      <c r="N356"/>
      <c r="O356"/>
      <c r="P356"/>
      <c r="Q356" t="s">
        <v>634</v>
      </c>
      <c r="R356" t="s">
        <v>1474</v>
      </c>
      <c r="S356" t="s">
        <v>1486</v>
      </c>
      <c r="T356">
        <f>100/7</f>
        <v>14.285714285714286</v>
      </c>
      <c r="U356" s="2">
        <f>Table1[[#This Row],[Coal Power Plant Size (MW) or Share]]*0.593*9057*211.9*10^(-9)</f>
        <v>1.6258181884285714E-2</v>
      </c>
      <c r="V356" s="2">
        <f>Table1[[#This Row],[Annual Emissions (MMTCO2)]]*40</f>
        <v>0.65032727537142854</v>
      </c>
      <c r="W356"/>
      <c r="X356">
        <f>100/7</f>
        <v>14.285714285714286</v>
      </c>
      <c r="Y356"/>
      <c r="Z356" s="1"/>
      <c r="AA356" s="1"/>
    </row>
    <row r="357" spans="1:27" ht="27" hidden="1" customHeight="1">
      <c r="A357" t="s">
        <v>200</v>
      </c>
      <c r="B357" t="s">
        <v>222</v>
      </c>
      <c r="C357" t="s">
        <v>126</v>
      </c>
      <c r="D357" s="6">
        <v>27000000</v>
      </c>
      <c r="E357"/>
      <c r="F357"/>
      <c r="G357"/>
      <c r="H357" t="s">
        <v>615</v>
      </c>
      <c r="I357" t="s">
        <v>684</v>
      </c>
      <c r="J357" s="28">
        <v>54789</v>
      </c>
      <c r="K357" t="s">
        <v>989</v>
      </c>
      <c r="L357" t="s">
        <v>78</v>
      </c>
      <c r="M357"/>
      <c r="N357"/>
      <c r="O357"/>
      <c r="P357"/>
      <c r="Q357" t="s">
        <v>634</v>
      </c>
      <c r="R357" t="s">
        <v>640</v>
      </c>
      <c r="S357" t="s">
        <v>476</v>
      </c>
      <c r="T357">
        <f>18/2</f>
        <v>9</v>
      </c>
      <c r="U357" s="2">
        <f>Table1[[#This Row],[Coal Power Plant Size (MW) or Share]]*0.593*9057*211.9*10^(-9)</f>
        <v>1.0242654587099999E-2</v>
      </c>
      <c r="V357" s="2">
        <f>Table1[[#This Row],[Annual Emissions (MMTCO2)]]*40</f>
        <v>0.40970618348399995</v>
      </c>
      <c r="W357"/>
      <c r="X357">
        <f>18/2</f>
        <v>9</v>
      </c>
      <c r="Y357"/>
      <c r="Z357" s="1"/>
      <c r="AA357" s="1"/>
    </row>
    <row r="358" spans="1:27" ht="27" hidden="1" customHeight="1">
      <c r="A358" t="s">
        <v>200</v>
      </c>
      <c r="B358" t="s">
        <v>222</v>
      </c>
      <c r="C358" t="s">
        <v>126</v>
      </c>
      <c r="D358" s="6">
        <v>7390000</v>
      </c>
      <c r="E358" t="s">
        <v>686</v>
      </c>
      <c r="F358"/>
      <c r="G358"/>
      <c r="H358" t="s">
        <v>617</v>
      </c>
      <c r="I358" t="s">
        <v>685</v>
      </c>
      <c r="J358" s="28">
        <v>54789</v>
      </c>
      <c r="K358" t="s">
        <v>989</v>
      </c>
      <c r="L358" t="s">
        <v>26</v>
      </c>
      <c r="M358" t="s">
        <v>629</v>
      </c>
      <c r="N358"/>
      <c r="O358"/>
      <c r="P358"/>
      <c r="Q358" t="s">
        <v>634</v>
      </c>
      <c r="R358" t="s">
        <v>635</v>
      </c>
      <c r="S358" t="s">
        <v>476</v>
      </c>
      <c r="T358">
        <v>25</v>
      </c>
      <c r="U358" s="2">
        <f>Table1[[#This Row],[Coal Power Plant Size (MW) or Share]]*0.593*9057*211.9*10^(-9)</f>
        <v>2.8451818297500001E-2</v>
      </c>
      <c r="V358" s="2">
        <f>Table1[[#This Row],[Annual Emissions (MMTCO2)]]*40</f>
        <v>1.1380727318999999</v>
      </c>
      <c r="W358"/>
      <c r="X358">
        <v>25</v>
      </c>
      <c r="Y358"/>
      <c r="Z358" s="1"/>
      <c r="AA358" s="1"/>
    </row>
    <row r="359" spans="1:27" ht="27" hidden="1" customHeight="1">
      <c r="A359" t="s">
        <v>26</v>
      </c>
      <c r="B359" t="s">
        <v>281</v>
      </c>
      <c r="C359" t="s">
        <v>1465</v>
      </c>
      <c r="D359" s="6">
        <v>17750000</v>
      </c>
      <c r="E359" t="s">
        <v>282</v>
      </c>
      <c r="F359"/>
      <c r="G359"/>
      <c r="H359" t="s">
        <v>284</v>
      </c>
      <c r="I359" t="s">
        <v>285</v>
      </c>
      <c r="J359" s="28">
        <v>41547</v>
      </c>
      <c r="K359" t="s">
        <v>1130</v>
      </c>
      <c r="L359" t="s">
        <v>86</v>
      </c>
      <c r="M359"/>
      <c r="N359" t="s">
        <v>286</v>
      </c>
      <c r="O359"/>
      <c r="P359"/>
      <c r="Q359" t="s">
        <v>37</v>
      </c>
      <c r="R359" t="s">
        <v>283</v>
      </c>
      <c r="S359" t="s">
        <v>703</v>
      </c>
      <c r="T359"/>
      <c r="U359" s="2">
        <f>Table1[[#This Row],[Coal Power Plant Size (MW) or Share]]*0.593*9057*211.9*10^(-9)</f>
        <v>0</v>
      </c>
      <c r="V359" s="2">
        <f>Table1[[#This Row],[Annual Emissions (MMTCO2)]]*40</f>
        <v>0</v>
      </c>
      <c r="W359"/>
      <c r="X359"/>
      <c r="Y359"/>
      <c r="Z359" s="1"/>
      <c r="AA359" s="1"/>
    </row>
    <row r="360" spans="1:27" ht="27" hidden="1" customHeight="1">
      <c r="A360" t="s">
        <v>26</v>
      </c>
      <c r="B360" t="s">
        <v>336</v>
      </c>
      <c r="C360" t="s">
        <v>417</v>
      </c>
      <c r="D360" s="6">
        <v>1000000000</v>
      </c>
      <c r="E360" t="s">
        <v>714</v>
      </c>
      <c r="F360"/>
      <c r="G360"/>
      <c r="H360" t="s">
        <v>823</v>
      </c>
      <c r="I360" t="s">
        <v>825</v>
      </c>
      <c r="J360" s="28">
        <v>54789</v>
      </c>
      <c r="K360" t="s">
        <v>1130</v>
      </c>
      <c r="L360" t="s">
        <v>86</v>
      </c>
      <c r="M360" t="s">
        <v>713</v>
      </c>
      <c r="N360" t="s">
        <v>715</v>
      </c>
      <c r="O360" t="s">
        <v>761</v>
      </c>
      <c r="P360"/>
      <c r="Q360" t="s">
        <v>37</v>
      </c>
      <c r="R360" t="s">
        <v>283</v>
      </c>
      <c r="S360" t="s">
        <v>476</v>
      </c>
      <c r="T360">
        <v>0</v>
      </c>
      <c r="U360" s="2">
        <f>Table1[[#This Row],[Coal Power Plant Size (MW) or Share]]*0.593*9057*211.9*10^(-9)</f>
        <v>0</v>
      </c>
      <c r="V360" s="2">
        <f>Table1[[#This Row],[Annual Emissions (MMTCO2)]]*40</f>
        <v>0</v>
      </c>
      <c r="W360"/>
      <c r="X360"/>
      <c r="Y360"/>
      <c r="Z360" s="1"/>
      <c r="AA360" s="1"/>
    </row>
    <row r="361" spans="1:27" ht="27" hidden="1" customHeight="1">
      <c r="A361" t="s">
        <v>26</v>
      </c>
      <c r="B361" t="s">
        <v>28</v>
      </c>
      <c r="C361" t="s">
        <v>14</v>
      </c>
      <c r="D361" s="6">
        <v>516099.43781308923</v>
      </c>
      <c r="E361" t="s">
        <v>47</v>
      </c>
      <c r="F361"/>
      <c r="G361"/>
      <c r="H361" t="s">
        <v>48</v>
      </c>
      <c r="I361"/>
      <c r="J361" s="28">
        <v>42064</v>
      </c>
      <c r="K361" t="s">
        <v>1482</v>
      </c>
      <c r="L361" t="s">
        <v>49</v>
      </c>
      <c r="M361"/>
      <c r="N361" t="s">
        <v>50</v>
      </c>
      <c r="O361" t="s">
        <v>51</v>
      </c>
      <c r="P361"/>
      <c r="Q361" t="s">
        <v>17</v>
      </c>
      <c r="R361" t="s">
        <v>18</v>
      </c>
      <c r="S361" t="s">
        <v>703</v>
      </c>
      <c r="T361"/>
      <c r="U361" s="2">
        <f>Table1[[#This Row],[Coal Power Plant Size (MW) or Share]]*0.593*9057*211.9*10^(-9)</f>
        <v>0</v>
      </c>
      <c r="V361" s="2">
        <f>Table1[[#This Row],[Annual Emissions (MMTCO2)]]*40</f>
        <v>0</v>
      </c>
      <c r="W361"/>
      <c r="X361"/>
      <c r="Y361"/>
      <c r="Z361" s="1"/>
      <c r="AA361" s="1"/>
    </row>
    <row r="362" spans="1:27" ht="27" hidden="1" customHeight="1">
      <c r="A362" t="s">
        <v>26</v>
      </c>
      <c r="B362" t="s">
        <v>281</v>
      </c>
      <c r="C362" t="s">
        <v>1465</v>
      </c>
      <c r="D362" s="6">
        <v>87000000</v>
      </c>
      <c r="E362" t="s">
        <v>495</v>
      </c>
      <c r="F362"/>
      <c r="G362"/>
      <c r="H362" t="s">
        <v>496</v>
      </c>
      <c r="I362" t="s">
        <v>497</v>
      </c>
      <c r="J362" s="28">
        <v>42304</v>
      </c>
      <c r="K362" t="s">
        <v>1482</v>
      </c>
      <c r="L362" t="s">
        <v>190</v>
      </c>
      <c r="M362"/>
      <c r="N362" t="s">
        <v>498</v>
      </c>
      <c r="O362"/>
      <c r="P362"/>
      <c r="Q362" t="s">
        <v>17</v>
      </c>
      <c r="R362" t="s">
        <v>23</v>
      </c>
      <c r="S362" t="s">
        <v>703</v>
      </c>
      <c r="T362">
        <v>80</v>
      </c>
      <c r="U362" s="2">
        <f>Table1[[#This Row],[Coal Power Plant Size (MW) or Share]]*0.593*9057*211.9*10^(-9)</f>
        <v>9.1045818551999988E-2</v>
      </c>
      <c r="V362" s="2">
        <f>Table1[[#This Row],[Annual Emissions (MMTCO2)]]*40</f>
        <v>3.6418327420799996</v>
      </c>
      <c r="W362"/>
      <c r="X362"/>
      <c r="Y362"/>
      <c r="Z362" s="1"/>
      <c r="AA362" s="1"/>
    </row>
    <row r="363" spans="1:27" ht="27" hidden="1" customHeight="1">
      <c r="A363" t="s">
        <v>26</v>
      </c>
      <c r="B363" t="s">
        <v>281</v>
      </c>
      <c r="C363" t="s">
        <v>1465</v>
      </c>
      <c r="D363" s="6">
        <v>1600000000</v>
      </c>
      <c r="E363" t="s">
        <v>1176</v>
      </c>
      <c r="F363" t="s">
        <v>1194</v>
      </c>
      <c r="G363" t="s">
        <v>1194</v>
      </c>
      <c r="H363" t="s">
        <v>1005</v>
      </c>
      <c r="I363" t="s">
        <v>868</v>
      </c>
      <c r="J363" s="28">
        <v>42826</v>
      </c>
      <c r="K363" t="s">
        <v>989</v>
      </c>
      <c r="L363" t="s">
        <v>97</v>
      </c>
      <c r="M363" t="s">
        <v>858</v>
      </c>
      <c r="N363" t="s">
        <v>1969</v>
      </c>
      <c r="O363" t="s">
        <v>455</v>
      </c>
      <c r="P363" t="s">
        <v>864</v>
      </c>
      <c r="Q363" t="s">
        <v>17</v>
      </c>
      <c r="R363" t="s">
        <v>456</v>
      </c>
      <c r="S363" t="s">
        <v>703</v>
      </c>
      <c r="T363">
        <v>1320</v>
      </c>
      <c r="U363" s="2">
        <f>Table1[[#This Row],[Coal Power Plant Size (MW) or Share]]*0.593*9057*211.9*10^(-9)</f>
        <v>1.5022560061080001</v>
      </c>
      <c r="V363" s="2">
        <f>Table1[[#This Row],[Annual Emissions (MMTCO2)]]*40</f>
        <v>60.090240244320007</v>
      </c>
      <c r="W363"/>
      <c r="X363"/>
      <c r="Y363"/>
      <c r="Z363" s="1"/>
      <c r="AA363" s="1"/>
    </row>
    <row r="364" spans="1:27" ht="27" hidden="1" customHeight="1">
      <c r="A364" t="s">
        <v>26</v>
      </c>
      <c r="B364" t="s">
        <v>552</v>
      </c>
      <c r="C364" t="s">
        <v>552</v>
      </c>
      <c r="D364" s="6"/>
      <c r="E364" t="s">
        <v>38</v>
      </c>
      <c r="F364" t="s">
        <v>38</v>
      </c>
      <c r="G364"/>
      <c r="H364" t="s">
        <v>924</v>
      </c>
      <c r="I364" t="s">
        <v>926</v>
      </c>
      <c r="J364" s="28">
        <v>54789</v>
      </c>
      <c r="K364" t="s">
        <v>991</v>
      </c>
      <c r="L364" t="s">
        <v>98</v>
      </c>
      <c r="M364"/>
      <c r="N364" t="s">
        <v>1453</v>
      </c>
      <c r="O364" t="s">
        <v>925</v>
      </c>
      <c r="P364"/>
      <c r="Q364" t="s">
        <v>17</v>
      </c>
      <c r="R364" t="s">
        <v>18</v>
      </c>
      <c r="S364" t="s">
        <v>476</v>
      </c>
      <c r="T364"/>
      <c r="U364" s="2">
        <f>Table1[[#This Row],[Coal Power Plant Size (MW) or Share]]*0.593*9057*211.9*10^(-9)</f>
        <v>0</v>
      </c>
      <c r="V364" s="2">
        <f>Table1[[#This Row],[Annual Emissions (MMTCO2)]]*40</f>
        <v>0</v>
      </c>
      <c r="W364"/>
      <c r="X364"/>
      <c r="Y364"/>
      <c r="Z364" s="1"/>
      <c r="AA364" s="1"/>
    </row>
    <row r="365" spans="1:27" ht="27" hidden="1" customHeight="1">
      <c r="A365" t="s">
        <v>26</v>
      </c>
      <c r="B365" t="s">
        <v>28</v>
      </c>
      <c r="C365" t="s">
        <v>14</v>
      </c>
      <c r="D365" s="6">
        <v>2903059.3376986268</v>
      </c>
      <c r="E365" t="s">
        <v>30</v>
      </c>
      <c r="F365"/>
      <c r="G365"/>
      <c r="H365" t="s">
        <v>52</v>
      </c>
      <c r="I365" t="s">
        <v>53</v>
      </c>
      <c r="J365" s="28">
        <v>42359</v>
      </c>
      <c r="K365" t="s">
        <v>1482</v>
      </c>
      <c r="L365" t="s">
        <v>31</v>
      </c>
      <c r="M365"/>
      <c r="N365" t="s">
        <v>56</v>
      </c>
      <c r="O365" t="s">
        <v>57</v>
      </c>
      <c r="P365"/>
      <c r="Q365" t="s">
        <v>54</v>
      </c>
      <c r="R365" t="s">
        <v>55</v>
      </c>
      <c r="S365" t="s">
        <v>703</v>
      </c>
      <c r="T365"/>
      <c r="U365" s="2">
        <f>Table1[[#This Row],[Coal Power Plant Size (MW) or Share]]*0.593*9057*211.9*10^(-9)</f>
        <v>0</v>
      </c>
      <c r="V365" s="2">
        <f>Table1[[#This Row],[Annual Emissions (MMTCO2)]]*40</f>
        <v>0</v>
      </c>
      <c r="W365"/>
      <c r="X365"/>
      <c r="Y365"/>
      <c r="Z365" s="1"/>
      <c r="AA365" s="1"/>
    </row>
    <row r="366" spans="1:27" ht="27" hidden="1" customHeight="1">
      <c r="A366" t="s">
        <v>202</v>
      </c>
      <c r="B366" t="s">
        <v>287</v>
      </c>
      <c r="C366" t="s">
        <v>1465</v>
      </c>
      <c r="D366" s="6">
        <v>632000000</v>
      </c>
      <c r="E366" t="s">
        <v>100</v>
      </c>
      <c r="F366"/>
      <c r="G366"/>
      <c r="H366" t="s">
        <v>293</v>
      </c>
      <c r="I366" t="s">
        <v>294</v>
      </c>
      <c r="J366" s="28">
        <v>42005</v>
      </c>
      <c r="K366" t="s">
        <v>1450</v>
      </c>
      <c r="L366" t="s">
        <v>295</v>
      </c>
      <c r="M366"/>
      <c r="N366" t="s">
        <v>296</v>
      </c>
      <c r="O366" t="s">
        <v>297</v>
      </c>
      <c r="P366"/>
      <c r="Q366" t="s">
        <v>17</v>
      </c>
      <c r="R366" t="s">
        <v>18</v>
      </c>
      <c r="S366" t="s">
        <v>703</v>
      </c>
      <c r="T366">
        <v>752</v>
      </c>
      <c r="U366" s="2">
        <f>Table1[[#This Row],[Coal Power Plant Size (MW) or Share]]*0.593*9057*211.9*10^(-9)</f>
        <v>0.85583069438880011</v>
      </c>
      <c r="V366" s="2">
        <f>Table1[[#This Row],[Annual Emissions (MMTCO2)]]*40</f>
        <v>34.233227775552002</v>
      </c>
      <c r="W366"/>
      <c r="X366"/>
      <c r="Y366"/>
      <c r="Z366" s="1"/>
      <c r="AA366" s="1"/>
    </row>
    <row r="367" spans="1:27" ht="27" hidden="1" customHeight="1">
      <c r="A367" t="s">
        <v>202</v>
      </c>
      <c r="B367" t="s">
        <v>28</v>
      </c>
      <c r="C367" t="s">
        <v>14</v>
      </c>
      <c r="D367" s="6">
        <v>4846068.4576470628</v>
      </c>
      <c r="E367" t="s">
        <v>47</v>
      </c>
      <c r="F367"/>
      <c r="G367"/>
      <c r="H367" t="s">
        <v>48</v>
      </c>
      <c r="I367"/>
      <c r="J367" s="28">
        <v>42064</v>
      </c>
      <c r="K367" t="s">
        <v>1482</v>
      </c>
      <c r="L367" t="s">
        <v>49</v>
      </c>
      <c r="M367"/>
      <c r="N367" t="s">
        <v>50</v>
      </c>
      <c r="O367" t="s">
        <v>51</v>
      </c>
      <c r="P367"/>
      <c r="Q367" t="s">
        <v>17</v>
      </c>
      <c r="R367" t="s">
        <v>18</v>
      </c>
      <c r="S367" t="s">
        <v>703</v>
      </c>
      <c r="T367"/>
      <c r="U367" s="2">
        <f>Table1[[#This Row],[Coal Power Plant Size (MW) or Share]]*0.593*9057*211.9*10^(-9)</f>
        <v>0</v>
      </c>
      <c r="V367" s="2">
        <f>Table1[[#This Row],[Annual Emissions (MMTCO2)]]*40</f>
        <v>0</v>
      </c>
      <c r="W367"/>
      <c r="X367"/>
      <c r="Y367"/>
      <c r="Z367" s="1"/>
      <c r="AA367" s="1"/>
    </row>
    <row r="368" spans="1:27" ht="27" hidden="1" customHeight="1">
      <c r="A368" t="s">
        <v>202</v>
      </c>
      <c r="B368" t="s">
        <v>287</v>
      </c>
      <c r="C368" t="s">
        <v>1465</v>
      </c>
      <c r="D368" s="6">
        <v>57800000</v>
      </c>
      <c r="E368" t="s">
        <v>289</v>
      </c>
      <c r="F368"/>
      <c r="G368"/>
      <c r="H368" t="s">
        <v>290</v>
      </c>
      <c r="I368" t="s">
        <v>291</v>
      </c>
      <c r="J368" s="28">
        <v>41303</v>
      </c>
      <c r="K368" t="s">
        <v>991</v>
      </c>
      <c r="L368" t="s">
        <v>67</v>
      </c>
      <c r="M368"/>
      <c r="N368" t="s">
        <v>292</v>
      </c>
      <c r="O368"/>
      <c r="P368"/>
      <c r="Q368" t="s">
        <v>54</v>
      </c>
      <c r="R368" t="s">
        <v>58</v>
      </c>
      <c r="S368" t="s">
        <v>703</v>
      </c>
      <c r="T368"/>
      <c r="U368" s="2">
        <f>Table1[[#This Row],[Coal Power Plant Size (MW) or Share]]*0.593*9057*211.9*10^(-9)</f>
        <v>0</v>
      </c>
      <c r="V368" s="2">
        <f>Table1[[#This Row],[Annual Emissions (MMTCO2)]]*40</f>
        <v>0</v>
      </c>
      <c r="W368">
        <v>18</v>
      </c>
      <c r="X368"/>
      <c r="Y368"/>
      <c r="Z368" s="1"/>
      <c r="AA368" s="1"/>
    </row>
    <row r="369" spans="1:27" ht="27" hidden="1" customHeight="1">
      <c r="A369" t="s">
        <v>202</v>
      </c>
      <c r="B369" t="s">
        <v>92</v>
      </c>
      <c r="C369" t="s">
        <v>14</v>
      </c>
      <c r="D369" s="6">
        <v>18425663.35256977</v>
      </c>
      <c r="E369" t="s">
        <v>102</v>
      </c>
      <c r="F369"/>
      <c r="G369"/>
      <c r="H369" t="s">
        <v>103</v>
      </c>
      <c r="I369" t="s">
        <v>84</v>
      </c>
      <c r="J369" s="28">
        <v>42278</v>
      </c>
      <c r="K369" t="s">
        <v>992</v>
      </c>
      <c r="L369" t="s">
        <v>104</v>
      </c>
      <c r="M369"/>
      <c r="N369" t="s">
        <v>105</v>
      </c>
      <c r="O369" t="s">
        <v>106</v>
      </c>
      <c r="P369"/>
      <c r="Q369" t="s">
        <v>54</v>
      </c>
      <c r="R369" t="s">
        <v>55</v>
      </c>
      <c r="S369" t="s">
        <v>646</v>
      </c>
      <c r="T369"/>
      <c r="U369" s="2">
        <f>Table1[[#This Row],[Coal Power Plant Size (MW) or Share]]*0.593*9057*211.9*10^(-9)</f>
        <v>0</v>
      </c>
      <c r="V369" s="2">
        <f>Table1[[#This Row],[Annual Emissions (MMTCO2)]]*40</f>
        <v>0</v>
      </c>
      <c r="W369"/>
      <c r="X369"/>
      <c r="Y369"/>
      <c r="Z369" s="1"/>
      <c r="AA369" s="1"/>
    </row>
    <row r="370" spans="1:27" ht="27" hidden="1" customHeight="1">
      <c r="A370" t="s">
        <v>202</v>
      </c>
      <c r="B370" t="s">
        <v>28</v>
      </c>
      <c r="C370" t="s">
        <v>14</v>
      </c>
      <c r="D370" s="6">
        <v>27259135.074264731</v>
      </c>
      <c r="E370" t="s">
        <v>30</v>
      </c>
      <c r="F370"/>
      <c r="G370"/>
      <c r="H370" t="s">
        <v>52</v>
      </c>
      <c r="I370" t="s">
        <v>53</v>
      </c>
      <c r="J370" s="28">
        <v>42359</v>
      </c>
      <c r="K370" t="s">
        <v>1482</v>
      </c>
      <c r="L370" t="s">
        <v>31</v>
      </c>
      <c r="M370"/>
      <c r="N370" t="s">
        <v>56</v>
      </c>
      <c r="O370" t="s">
        <v>57</v>
      </c>
      <c r="P370"/>
      <c r="Q370" t="s">
        <v>54</v>
      </c>
      <c r="R370" t="s">
        <v>55</v>
      </c>
      <c r="S370" t="s">
        <v>703</v>
      </c>
      <c r="T370"/>
      <c r="U370" s="2">
        <f>Table1[[#This Row],[Coal Power Plant Size (MW) or Share]]*0.593*9057*211.9*10^(-9)</f>
        <v>0</v>
      </c>
      <c r="V370" s="2">
        <f>Table1[[#This Row],[Annual Emissions (MMTCO2)]]*40</f>
        <v>0</v>
      </c>
      <c r="W370"/>
      <c r="X370"/>
      <c r="Y370"/>
      <c r="Z370" s="1"/>
      <c r="AA370" s="1"/>
    </row>
    <row r="371" spans="1:27" ht="27" hidden="1" customHeight="1">
      <c r="A371" t="s">
        <v>298</v>
      </c>
      <c r="B371" t="s">
        <v>300</v>
      </c>
      <c r="C371" t="s">
        <v>1465</v>
      </c>
      <c r="D371" s="6">
        <v>24000000</v>
      </c>
      <c r="E371" t="s">
        <v>797</v>
      </c>
      <c r="F371"/>
      <c r="G371"/>
      <c r="H371" t="s">
        <v>798</v>
      </c>
      <c r="I371" t="s">
        <v>799</v>
      </c>
      <c r="J371" s="28">
        <v>42726</v>
      </c>
      <c r="K371" t="s">
        <v>991</v>
      </c>
      <c r="L371" t="s">
        <v>67</v>
      </c>
      <c r="M371"/>
      <c r="N371" t="s">
        <v>800</v>
      </c>
      <c r="O371"/>
      <c r="P371"/>
      <c r="Q371" t="s">
        <v>37</v>
      </c>
      <c r="R371" t="s">
        <v>37</v>
      </c>
      <c r="S371" t="s">
        <v>703</v>
      </c>
      <c r="T371">
        <v>0</v>
      </c>
      <c r="U371" s="2">
        <f>Table1[[#This Row],[Coal Power Plant Size (MW) or Share]]*0.593*9057*211.9*10^(-9)</f>
        <v>0</v>
      </c>
      <c r="V371" s="2">
        <f>Table1[[#This Row],[Annual Emissions (MMTCO2)]]*40</f>
        <v>0</v>
      </c>
      <c r="W371">
        <v>4</v>
      </c>
      <c r="X371"/>
      <c r="Y371"/>
      <c r="Z371" s="1"/>
      <c r="AA371" s="1"/>
    </row>
    <row r="372" spans="1:27" ht="27" hidden="1" customHeight="1">
      <c r="A372" t="s">
        <v>298</v>
      </c>
      <c r="B372" t="s">
        <v>300</v>
      </c>
      <c r="C372" t="s">
        <v>1465</v>
      </c>
      <c r="D372" s="6">
        <v>85000000</v>
      </c>
      <c r="E372" t="s">
        <v>1410</v>
      </c>
      <c r="F372"/>
      <c r="G372"/>
      <c r="H372" t="s">
        <v>382</v>
      </c>
      <c r="I372" t="s">
        <v>323</v>
      </c>
      <c r="J372" s="28">
        <v>41508</v>
      </c>
      <c r="K372" t="s">
        <v>991</v>
      </c>
      <c r="L372" t="s">
        <v>98</v>
      </c>
      <c r="M372" t="s">
        <v>1409</v>
      </c>
      <c r="N372"/>
      <c r="O372" t="s">
        <v>324</v>
      </c>
      <c r="P372"/>
      <c r="Q372" t="s">
        <v>17</v>
      </c>
      <c r="R372" t="s">
        <v>18</v>
      </c>
      <c r="S372" t="s">
        <v>703</v>
      </c>
      <c r="T372">
        <v>600</v>
      </c>
      <c r="U372" s="2">
        <f>Table1[[#This Row],[Coal Power Plant Size (MW) or Share]]*0.593*9057*211.9*10^(-9)</f>
        <v>0.68284363914000001</v>
      </c>
      <c r="V372" s="2">
        <f>Table1[[#This Row],[Annual Emissions (MMTCO2)]]*40</f>
        <v>27.313745565600001</v>
      </c>
      <c r="W372"/>
      <c r="X372"/>
      <c r="Y372"/>
      <c r="Z372" s="1"/>
      <c r="AA372" s="1"/>
    </row>
    <row r="373" spans="1:27" ht="27" hidden="1" customHeight="1">
      <c r="A373" t="s">
        <v>298</v>
      </c>
      <c r="B373" t="s">
        <v>299</v>
      </c>
      <c r="C373" t="s">
        <v>1465</v>
      </c>
      <c r="D373" s="6">
        <v>56000000</v>
      </c>
      <c r="E373" t="s">
        <v>1410</v>
      </c>
      <c r="F373" t="s">
        <v>1414</v>
      </c>
      <c r="G373" t="s">
        <v>1273</v>
      </c>
      <c r="H373" t="s">
        <v>382</v>
      </c>
      <c r="I373" t="s">
        <v>323</v>
      </c>
      <c r="J373" s="28">
        <v>41508</v>
      </c>
      <c r="K373" t="s">
        <v>991</v>
      </c>
      <c r="L373" t="s">
        <v>98</v>
      </c>
      <c r="M373" t="s">
        <v>1409</v>
      </c>
      <c r="N373"/>
      <c r="O373"/>
      <c r="P373"/>
      <c r="Q373" t="s">
        <v>17</v>
      </c>
      <c r="R373" t="s">
        <v>18</v>
      </c>
      <c r="S373" t="s">
        <v>703</v>
      </c>
      <c r="T373">
        <v>600</v>
      </c>
      <c r="U373" s="2">
        <f>Table1[[#This Row],[Coal Power Plant Size (MW) or Share]]*0.593*9057*211.9*10^(-9)</f>
        <v>0.68284363914000001</v>
      </c>
      <c r="V373" s="2">
        <f>Table1[[#This Row],[Annual Emissions (MMTCO2)]]*40</f>
        <v>27.313745565600001</v>
      </c>
      <c r="W373"/>
      <c r="X373"/>
      <c r="Y373"/>
      <c r="Z373" s="1"/>
      <c r="AA373" s="1"/>
    </row>
    <row r="374" spans="1:27" ht="27" hidden="1" customHeight="1">
      <c r="A374" t="s">
        <v>298</v>
      </c>
      <c r="B374" t="s">
        <v>301</v>
      </c>
      <c r="C374" t="s">
        <v>126</v>
      </c>
      <c r="D374" s="6">
        <v>42010000</v>
      </c>
      <c r="E374" t="s">
        <v>35</v>
      </c>
      <c r="F374"/>
      <c r="G374"/>
      <c r="H374" t="s">
        <v>325</v>
      </c>
      <c r="I374" t="s">
        <v>326</v>
      </c>
      <c r="J374" s="28">
        <v>41593</v>
      </c>
      <c r="K374" t="s">
        <v>1451</v>
      </c>
      <c r="L374" t="s">
        <v>36</v>
      </c>
      <c r="M374"/>
      <c r="N374" t="s">
        <v>327</v>
      </c>
      <c r="O374"/>
      <c r="P374"/>
      <c r="Q374" t="s">
        <v>17</v>
      </c>
      <c r="R374" t="s">
        <v>23</v>
      </c>
      <c r="S374" t="s">
        <v>703</v>
      </c>
      <c r="T374">
        <v>540</v>
      </c>
      <c r="U374" s="2">
        <f>Table1[[#This Row],[Coal Power Plant Size (MW) or Share]]*0.593*9057*211.9*10^(-9)</f>
        <v>0.61455927522599996</v>
      </c>
      <c r="V374" s="2">
        <f>Table1[[#This Row],[Annual Emissions (MMTCO2)]]*40</f>
        <v>24.582371009039999</v>
      </c>
      <c r="W374"/>
      <c r="X374"/>
      <c r="Y374"/>
      <c r="Z374" s="1"/>
      <c r="AA374" s="1"/>
    </row>
    <row r="375" spans="1:27" ht="27" hidden="1" customHeight="1">
      <c r="A375" t="s">
        <v>298</v>
      </c>
      <c r="B375" t="s">
        <v>300</v>
      </c>
      <c r="C375" t="s">
        <v>1465</v>
      </c>
      <c r="D375" s="6">
        <v>210000000</v>
      </c>
      <c r="E375" t="s">
        <v>1274</v>
      </c>
      <c r="F375"/>
      <c r="G375" t="s">
        <v>1275</v>
      </c>
      <c r="H375" t="s">
        <v>329</v>
      </c>
      <c r="I375" t="s">
        <v>276</v>
      </c>
      <c r="J375" s="28">
        <v>41666</v>
      </c>
      <c r="K375" t="s">
        <v>989</v>
      </c>
      <c r="L375" t="s">
        <v>26</v>
      </c>
      <c r="M375" t="s">
        <v>631</v>
      </c>
      <c r="N375"/>
      <c r="O375" t="s">
        <v>303</v>
      </c>
      <c r="P375"/>
      <c r="Q375" t="s">
        <v>17</v>
      </c>
      <c r="R375" t="s">
        <v>18</v>
      </c>
      <c r="S375" t="s">
        <v>703</v>
      </c>
      <c r="T375">
        <v>800</v>
      </c>
      <c r="U375" s="2">
        <f>Table1[[#This Row],[Coal Power Plant Size (MW) or Share]]*0.593*9057*211.9*10^(-9)</f>
        <v>0.91045818552000002</v>
      </c>
      <c r="V375" s="2">
        <f>Table1[[#This Row],[Annual Emissions (MMTCO2)]]*40</f>
        <v>36.418327420799997</v>
      </c>
      <c r="W375"/>
      <c r="X375"/>
      <c r="Y375"/>
      <c r="Z375" s="1"/>
      <c r="AA375" s="1"/>
    </row>
    <row r="376" spans="1:27" ht="27" hidden="1" customHeight="1">
      <c r="A376" t="s">
        <v>298</v>
      </c>
      <c r="B376" t="s">
        <v>299</v>
      </c>
      <c r="C376" t="s">
        <v>1465</v>
      </c>
      <c r="D376" s="6">
        <v>140000000</v>
      </c>
      <c r="E376" t="s">
        <v>1274</v>
      </c>
      <c r="F376" t="s">
        <v>328</v>
      </c>
      <c r="G376" t="s">
        <v>1275</v>
      </c>
      <c r="H376" t="s">
        <v>329</v>
      </c>
      <c r="I376" t="s">
        <v>276</v>
      </c>
      <c r="J376" s="28">
        <v>41666</v>
      </c>
      <c r="K376" t="s">
        <v>989</v>
      </c>
      <c r="L376" t="s">
        <v>26</v>
      </c>
      <c r="M376" t="s">
        <v>631</v>
      </c>
      <c r="N376"/>
      <c r="O376"/>
      <c r="P376"/>
      <c r="Q376" t="s">
        <v>17</v>
      </c>
      <c r="R376" t="s">
        <v>18</v>
      </c>
      <c r="S376" t="s">
        <v>703</v>
      </c>
      <c r="T376">
        <v>800</v>
      </c>
      <c r="U376" s="2">
        <f>Table1[[#This Row],[Coal Power Plant Size (MW) or Share]]*0.593*9057*211.9*10^(-9)</f>
        <v>0.91045818552000002</v>
      </c>
      <c r="V376" s="2">
        <f>Table1[[#This Row],[Annual Emissions (MMTCO2)]]*40</f>
        <v>36.418327420799997</v>
      </c>
      <c r="W376"/>
      <c r="X376"/>
      <c r="Y376"/>
      <c r="Z376" s="1"/>
      <c r="AA376" s="1"/>
    </row>
    <row r="377" spans="1:27" ht="27" hidden="1" customHeight="1">
      <c r="A377" t="s">
        <v>298</v>
      </c>
      <c r="B377" t="s">
        <v>300</v>
      </c>
      <c r="C377" t="s">
        <v>1465</v>
      </c>
      <c r="D377" s="6">
        <v>202000000</v>
      </c>
      <c r="E377" t="s">
        <v>107</v>
      </c>
      <c r="F377"/>
      <c r="G377" t="s">
        <v>1168</v>
      </c>
      <c r="H377" t="s">
        <v>385</v>
      </c>
      <c r="I377" t="s">
        <v>304</v>
      </c>
      <c r="J377" s="28">
        <v>41837</v>
      </c>
      <c r="K377" t="s">
        <v>991</v>
      </c>
      <c r="L377" t="s">
        <v>98</v>
      </c>
      <c r="M377" t="s">
        <v>954</v>
      </c>
      <c r="N377"/>
      <c r="O377" t="s">
        <v>335</v>
      </c>
      <c r="P377"/>
      <c r="Q377" t="s">
        <v>17</v>
      </c>
      <c r="R377" t="s">
        <v>18</v>
      </c>
      <c r="S377" t="s">
        <v>703</v>
      </c>
      <c r="T377">
        <v>600</v>
      </c>
      <c r="U377" s="2">
        <f>Table1[[#This Row],[Coal Power Plant Size (MW) or Share]]*0.593*9057*211.9*10^(-9)</f>
        <v>0.68284363914000001</v>
      </c>
      <c r="V377" s="2">
        <f>Table1[[#This Row],[Annual Emissions (MMTCO2)]]*40</f>
        <v>27.313745565600001</v>
      </c>
      <c r="W377"/>
      <c r="X377"/>
      <c r="Y377"/>
      <c r="Z377" s="1"/>
      <c r="AA377" s="1"/>
    </row>
    <row r="378" spans="1:27" ht="27" hidden="1" customHeight="1">
      <c r="A378" t="s">
        <v>298</v>
      </c>
      <c r="B378" t="s">
        <v>299</v>
      </c>
      <c r="C378" t="s">
        <v>1465</v>
      </c>
      <c r="D378" s="6">
        <v>135000000</v>
      </c>
      <c r="E378" t="s">
        <v>334</v>
      </c>
      <c r="F378" t="s">
        <v>1415</v>
      </c>
      <c r="G378" t="s">
        <v>1273</v>
      </c>
      <c r="H378" t="s">
        <v>385</v>
      </c>
      <c r="I378" t="s">
        <v>304</v>
      </c>
      <c r="J378" s="28">
        <v>41837</v>
      </c>
      <c r="K378" t="s">
        <v>991</v>
      </c>
      <c r="L378" t="s">
        <v>98</v>
      </c>
      <c r="M378" t="s">
        <v>954</v>
      </c>
      <c r="N378"/>
      <c r="O378"/>
      <c r="P378"/>
      <c r="Q378" t="s">
        <v>17</v>
      </c>
      <c r="R378" t="s">
        <v>18</v>
      </c>
      <c r="S378" t="s">
        <v>703</v>
      </c>
      <c r="T378">
        <v>600</v>
      </c>
      <c r="U378" s="2">
        <f>Table1[[#This Row],[Coal Power Plant Size (MW) or Share]]*0.593*9057*211.9*10^(-9)</f>
        <v>0.68284363914000001</v>
      </c>
      <c r="V378" s="2">
        <f>Table1[[#This Row],[Annual Emissions (MMTCO2)]]*40</f>
        <v>27.313745565600001</v>
      </c>
      <c r="W378"/>
      <c r="X378"/>
      <c r="Y378"/>
      <c r="Z378" s="1"/>
      <c r="AA378" s="1"/>
    </row>
    <row r="379" spans="1:27" ht="27" hidden="1" customHeight="1">
      <c r="A379" t="s">
        <v>298</v>
      </c>
      <c r="B379" t="s">
        <v>300</v>
      </c>
      <c r="C379" t="s">
        <v>1465</v>
      </c>
      <c r="D379" s="6">
        <v>89063400</v>
      </c>
      <c r="E379" t="s">
        <v>336</v>
      </c>
      <c r="F379"/>
      <c r="G379"/>
      <c r="H379" t="s">
        <v>337</v>
      </c>
      <c r="I379" t="s">
        <v>338</v>
      </c>
      <c r="J379" s="28">
        <v>41884</v>
      </c>
      <c r="K379" t="s">
        <v>989</v>
      </c>
      <c r="L379" t="s">
        <v>26</v>
      </c>
      <c r="M379"/>
      <c r="N379"/>
      <c r="O379" t="s">
        <v>339</v>
      </c>
      <c r="P379"/>
      <c r="Q379" t="s">
        <v>17</v>
      </c>
      <c r="R379" t="s">
        <v>18</v>
      </c>
      <c r="S379" t="s">
        <v>703</v>
      </c>
      <c r="T379">
        <v>660</v>
      </c>
      <c r="U379" s="2">
        <f>Table1[[#This Row],[Coal Power Plant Size (MW) or Share]]*0.593*9057*211.9*10^(-9)</f>
        <v>0.75112800305400007</v>
      </c>
      <c r="V379" s="2">
        <f>Table1[[#This Row],[Annual Emissions (MMTCO2)]]*40</f>
        <v>30.045120122160004</v>
      </c>
      <c r="W379"/>
      <c r="X379"/>
      <c r="Y379"/>
      <c r="Z379" s="1"/>
      <c r="AA379" s="1"/>
    </row>
    <row r="380" spans="1:27" ht="27" hidden="1" customHeight="1">
      <c r="A380" t="s">
        <v>298</v>
      </c>
      <c r="B380" t="s">
        <v>299</v>
      </c>
      <c r="C380" t="s">
        <v>1465</v>
      </c>
      <c r="D380" s="6">
        <v>851375600</v>
      </c>
      <c r="E380" t="s">
        <v>334</v>
      </c>
      <c r="F380"/>
      <c r="G380"/>
      <c r="H380" t="s">
        <v>340</v>
      </c>
      <c r="I380" t="s">
        <v>341</v>
      </c>
      <c r="J380" s="28">
        <v>41884</v>
      </c>
      <c r="K380" t="s">
        <v>989</v>
      </c>
      <c r="L380" t="s">
        <v>26</v>
      </c>
      <c r="M380"/>
      <c r="N380"/>
      <c r="O380" t="s">
        <v>342</v>
      </c>
      <c r="P380"/>
      <c r="Q380" t="s">
        <v>17</v>
      </c>
      <c r="R380" t="s">
        <v>18</v>
      </c>
      <c r="S380" t="s">
        <v>703</v>
      </c>
      <c r="T380">
        <v>660</v>
      </c>
      <c r="U380" s="2">
        <f>Table1[[#This Row],[Coal Power Plant Size (MW) or Share]]*0.593*9057*211.9*10^(-9)</f>
        <v>0.75112800305400007</v>
      </c>
      <c r="V380" s="2">
        <f>Table1[[#This Row],[Annual Emissions (MMTCO2)]]*40</f>
        <v>30.045120122160004</v>
      </c>
      <c r="W380"/>
      <c r="X380"/>
      <c r="Y380"/>
      <c r="Z380" s="1"/>
      <c r="AA380" s="1"/>
    </row>
    <row r="381" spans="1:27" ht="27" hidden="1" customHeight="1">
      <c r="A381" t="s">
        <v>298</v>
      </c>
      <c r="B381" t="s">
        <v>300</v>
      </c>
      <c r="C381" t="s">
        <v>1465</v>
      </c>
      <c r="D381" s="6">
        <v>906675800</v>
      </c>
      <c r="E381" t="s">
        <v>343</v>
      </c>
      <c r="F381"/>
      <c r="G381"/>
      <c r="H381" t="s">
        <v>344</v>
      </c>
      <c r="I381" t="s">
        <v>345</v>
      </c>
      <c r="J381" s="28">
        <v>41900</v>
      </c>
      <c r="K381" t="s">
        <v>993</v>
      </c>
      <c r="L381" t="s">
        <v>166</v>
      </c>
      <c r="M381"/>
      <c r="N381" t="s">
        <v>346</v>
      </c>
      <c r="O381" t="s">
        <v>303</v>
      </c>
      <c r="P381"/>
      <c r="Q381" t="s">
        <v>17</v>
      </c>
      <c r="R381" t="s">
        <v>18</v>
      </c>
      <c r="S381" t="s">
        <v>703</v>
      </c>
      <c r="T381">
        <v>693</v>
      </c>
      <c r="U381" s="2">
        <f>Table1[[#This Row],[Coal Power Plant Size (MW) or Share]]*0.593*9057*211.9*10^(-9)</f>
        <v>0.78868440320669986</v>
      </c>
      <c r="V381" s="2">
        <f>Table1[[#This Row],[Annual Emissions (MMTCO2)]]*40</f>
        <v>31.547376128267995</v>
      </c>
      <c r="W381"/>
      <c r="X381"/>
      <c r="Y381"/>
      <c r="Z381" s="1"/>
      <c r="AA381" s="1"/>
    </row>
    <row r="382" spans="1:27" ht="27" hidden="1" customHeight="1">
      <c r="A382" t="s">
        <v>298</v>
      </c>
      <c r="B382" t="s">
        <v>299</v>
      </c>
      <c r="C382" t="s">
        <v>1465</v>
      </c>
      <c r="D382" s="6">
        <v>483630308.00000006</v>
      </c>
      <c r="E382" t="s">
        <v>347</v>
      </c>
      <c r="F382"/>
      <c r="G382"/>
      <c r="H382" t="s">
        <v>348</v>
      </c>
      <c r="I382" t="s">
        <v>349</v>
      </c>
      <c r="J382" s="28">
        <v>41901</v>
      </c>
      <c r="K382" t="s">
        <v>993</v>
      </c>
      <c r="L382" t="s">
        <v>166</v>
      </c>
      <c r="M382"/>
      <c r="N382"/>
      <c r="O382"/>
      <c r="P382"/>
      <c r="Q382" t="s">
        <v>17</v>
      </c>
      <c r="R382" t="s">
        <v>18</v>
      </c>
      <c r="S382" t="s">
        <v>703</v>
      </c>
      <c r="T382">
        <v>693</v>
      </c>
      <c r="U382" s="2">
        <f>Table1[[#This Row],[Coal Power Plant Size (MW) or Share]]*0.593*9057*211.9*10^(-9)</f>
        <v>0.78868440320669986</v>
      </c>
      <c r="V382" s="2">
        <f>Table1[[#This Row],[Annual Emissions (MMTCO2)]]*40</f>
        <v>31.547376128267995</v>
      </c>
      <c r="W382"/>
      <c r="X382"/>
      <c r="Y382"/>
      <c r="Z382" s="1"/>
      <c r="AA382" s="1"/>
    </row>
    <row r="383" spans="1:27" ht="27" hidden="1" customHeight="1">
      <c r="A383" t="s">
        <v>298</v>
      </c>
      <c r="B383" t="s">
        <v>301</v>
      </c>
      <c r="C383" t="s">
        <v>126</v>
      </c>
      <c r="D383" s="6">
        <v>307397175.64959997</v>
      </c>
      <c r="E383" t="s">
        <v>1403</v>
      </c>
      <c r="F383" t="s">
        <v>1356</v>
      </c>
      <c r="G383" t="s">
        <v>1355</v>
      </c>
      <c r="H383" t="s">
        <v>350</v>
      </c>
      <c r="I383" t="s">
        <v>351</v>
      </c>
      <c r="J383" s="28">
        <v>42030</v>
      </c>
      <c r="K383" t="s">
        <v>991</v>
      </c>
      <c r="L383" t="s">
        <v>98</v>
      </c>
      <c r="M383" t="s">
        <v>1409</v>
      </c>
      <c r="N383"/>
      <c r="O383"/>
      <c r="P383"/>
      <c r="Q383" t="s">
        <v>17</v>
      </c>
      <c r="R383" t="s">
        <v>18</v>
      </c>
      <c r="S383" t="s">
        <v>703</v>
      </c>
      <c r="T383">
        <v>600</v>
      </c>
      <c r="U383" s="2">
        <f>Table1[[#This Row],[Coal Power Plant Size (MW) or Share]]*0.593*9057*211.9*10^(-9)</f>
        <v>0.68284363914000001</v>
      </c>
      <c r="V383" s="2">
        <f>Table1[[#This Row],[Annual Emissions (MMTCO2)]]*40</f>
        <v>27.313745565600001</v>
      </c>
      <c r="W383"/>
      <c r="X383"/>
      <c r="Y383"/>
      <c r="Z383" s="1"/>
      <c r="AA383" s="1"/>
    </row>
    <row r="384" spans="1:27" ht="27" hidden="1" customHeight="1">
      <c r="A384" t="s">
        <v>298</v>
      </c>
      <c r="B384" t="s">
        <v>300</v>
      </c>
      <c r="C384" t="s">
        <v>1465</v>
      </c>
      <c r="D384" s="6">
        <v>409910000</v>
      </c>
      <c r="E384" t="s">
        <v>107</v>
      </c>
      <c r="F384"/>
      <c r="G384"/>
      <c r="H384" t="s">
        <v>922</v>
      </c>
      <c r="I384" t="s">
        <v>352</v>
      </c>
      <c r="J384" s="28">
        <v>42094</v>
      </c>
      <c r="K384" t="s">
        <v>991</v>
      </c>
      <c r="L384" t="s">
        <v>98</v>
      </c>
      <c r="M384"/>
      <c r="N384" t="s">
        <v>356</v>
      </c>
      <c r="O384" t="s">
        <v>303</v>
      </c>
      <c r="P384"/>
      <c r="Q384" t="s">
        <v>17</v>
      </c>
      <c r="R384" t="s">
        <v>353</v>
      </c>
      <c r="S384" t="s">
        <v>703</v>
      </c>
      <c r="T384">
        <f>688/2</f>
        <v>344</v>
      </c>
      <c r="U384" s="2">
        <f>Table1[[#This Row],[Coal Power Plant Size (MW) or Share]]*0.593*9057*211.9*10^(-9)</f>
        <v>0.39149701977360002</v>
      </c>
      <c r="V384" s="2">
        <f>Table1[[#This Row],[Annual Emissions (MMTCO2)]]*40</f>
        <v>15.659880790944001</v>
      </c>
      <c r="W384"/>
      <c r="X384"/>
      <c r="Y384"/>
      <c r="Z384" s="1"/>
      <c r="AA384" s="1"/>
    </row>
    <row r="385" spans="1:27" ht="27" hidden="1" customHeight="1">
      <c r="A385" t="s">
        <v>298</v>
      </c>
      <c r="B385" t="s">
        <v>299</v>
      </c>
      <c r="C385" t="s">
        <v>1465</v>
      </c>
      <c r="D385" s="6">
        <v>274000000</v>
      </c>
      <c r="E385" t="s">
        <v>107</v>
      </c>
      <c r="F385"/>
      <c r="G385"/>
      <c r="H385" t="s">
        <v>922</v>
      </c>
      <c r="I385" t="s">
        <v>352</v>
      </c>
      <c r="J385" s="28">
        <v>42094</v>
      </c>
      <c r="K385" t="s">
        <v>991</v>
      </c>
      <c r="L385" t="s">
        <v>98</v>
      </c>
      <c r="M385"/>
      <c r="N385" t="s">
        <v>354</v>
      </c>
      <c r="O385" t="s">
        <v>355</v>
      </c>
      <c r="P385"/>
      <c r="Q385" t="s">
        <v>17</v>
      </c>
      <c r="R385" t="s">
        <v>353</v>
      </c>
      <c r="S385" t="s">
        <v>703</v>
      </c>
      <c r="T385">
        <f>688/2</f>
        <v>344</v>
      </c>
      <c r="U385" s="2">
        <f>Table1[[#This Row],[Coal Power Plant Size (MW) or Share]]*0.593*9057*211.9*10^(-9)</f>
        <v>0.39149701977360002</v>
      </c>
      <c r="V385" s="2">
        <f>Table1[[#This Row],[Annual Emissions (MMTCO2)]]*40</f>
        <v>15.659880790944001</v>
      </c>
      <c r="W385"/>
      <c r="X385"/>
      <c r="Y385"/>
      <c r="Z385" s="1"/>
      <c r="AA385" s="1"/>
    </row>
    <row r="386" spans="1:27" ht="27" hidden="1" customHeight="1">
      <c r="A386" t="s">
        <v>298</v>
      </c>
      <c r="B386" t="s">
        <v>301</v>
      </c>
      <c r="C386" t="s">
        <v>126</v>
      </c>
      <c r="D386" s="6">
        <v>78412530</v>
      </c>
      <c r="E386" t="s">
        <v>302</v>
      </c>
      <c r="F386"/>
      <c r="G386"/>
      <c r="H386" t="s">
        <v>357</v>
      </c>
      <c r="I386" t="s">
        <v>358</v>
      </c>
      <c r="J386" s="28">
        <v>42189</v>
      </c>
      <c r="K386" t="s">
        <v>991</v>
      </c>
      <c r="L386" t="s">
        <v>98</v>
      </c>
      <c r="M386" t="s">
        <v>1409</v>
      </c>
      <c r="N386"/>
      <c r="O386" t="s">
        <v>358</v>
      </c>
      <c r="P386"/>
      <c r="Q386" t="s">
        <v>17</v>
      </c>
      <c r="R386" t="s">
        <v>18</v>
      </c>
      <c r="S386" t="s">
        <v>703</v>
      </c>
      <c r="T386"/>
      <c r="U386" s="2">
        <f>Table1[[#This Row],[Coal Power Plant Size (MW) or Share]]*0.593*9057*211.9*10^(-9)</f>
        <v>0</v>
      </c>
      <c r="V386" s="2">
        <f>Table1[[#This Row],[Annual Emissions (MMTCO2)]]*40</f>
        <v>0</v>
      </c>
      <c r="W386"/>
      <c r="X386"/>
      <c r="Y386"/>
      <c r="Z386" s="1"/>
      <c r="AA386" s="1"/>
    </row>
    <row r="387" spans="1:27" ht="27" hidden="1" customHeight="1">
      <c r="A387" t="s">
        <v>298</v>
      </c>
      <c r="B387" t="s">
        <v>300</v>
      </c>
      <c r="C387" t="s">
        <v>1465</v>
      </c>
      <c r="D387" s="6">
        <v>0</v>
      </c>
      <c r="E387" t="s">
        <v>529</v>
      </c>
      <c r="F387"/>
      <c r="G387"/>
      <c r="H387" t="s">
        <v>1104</v>
      </c>
      <c r="I387" t="s">
        <v>1105</v>
      </c>
      <c r="J387" s="28">
        <v>42327</v>
      </c>
      <c r="K387" t="s">
        <v>991</v>
      </c>
      <c r="L387" t="s">
        <v>530</v>
      </c>
      <c r="M387"/>
      <c r="N387" t="s">
        <v>1106</v>
      </c>
      <c r="O387"/>
      <c r="P387"/>
      <c r="Q387" t="s">
        <v>17</v>
      </c>
      <c r="R387" t="s">
        <v>18</v>
      </c>
      <c r="S387" t="s">
        <v>703</v>
      </c>
      <c r="T387">
        <v>2000</v>
      </c>
      <c r="U387" s="2">
        <f>Table1[[#This Row],[Coal Power Plant Size (MW) or Share]]*0.593*9057*211.9*10^(-9)</f>
        <v>2.2761454638000003</v>
      </c>
      <c r="V387" s="2">
        <f>Table1[[#This Row],[Annual Emissions (MMTCO2)]]*40</f>
        <v>91.045818552000014</v>
      </c>
      <c r="W387"/>
      <c r="X387"/>
      <c r="Y387"/>
      <c r="Z387" s="1"/>
      <c r="AA387" s="1"/>
    </row>
    <row r="388" spans="1:27" ht="27" hidden="1" customHeight="1">
      <c r="A388" t="s">
        <v>298</v>
      </c>
      <c r="B388" t="s">
        <v>300</v>
      </c>
      <c r="C388" t="s">
        <v>1465</v>
      </c>
      <c r="D388" s="6">
        <v>189300000</v>
      </c>
      <c r="E388" t="s">
        <v>423</v>
      </c>
      <c r="F388"/>
      <c r="G388" t="s">
        <v>1273</v>
      </c>
      <c r="H388" t="s">
        <v>424</v>
      </c>
      <c r="I388" t="s">
        <v>801</v>
      </c>
      <c r="J388" s="28">
        <v>42443</v>
      </c>
      <c r="K388" t="s">
        <v>991</v>
      </c>
      <c r="L388" t="s">
        <v>67</v>
      </c>
      <c r="M388" t="s">
        <v>1283</v>
      </c>
      <c r="N388"/>
      <c r="O388" t="s">
        <v>425</v>
      </c>
      <c r="P388"/>
      <c r="Q388" t="s">
        <v>17</v>
      </c>
      <c r="R388" t="s">
        <v>353</v>
      </c>
      <c r="S388" t="s">
        <v>703</v>
      </c>
      <c r="T388">
        <f>315/2</f>
        <v>157.5</v>
      </c>
      <c r="U388" s="2">
        <f>Table1[[#This Row],[Coal Power Plant Size (MW) or Share]]*0.593*9057*211.9*10^(-9)</f>
        <v>0.17924645527425001</v>
      </c>
      <c r="V388" s="2">
        <f>Table1[[#This Row],[Annual Emissions (MMTCO2)]]*40</f>
        <v>7.1698582109700002</v>
      </c>
      <c r="W388"/>
      <c r="X388"/>
      <c r="Y388"/>
      <c r="Z388" s="1"/>
      <c r="AA388" s="1"/>
    </row>
    <row r="389" spans="1:27" ht="27" hidden="1" customHeight="1">
      <c r="A389" t="s">
        <v>298</v>
      </c>
      <c r="B389" t="s">
        <v>299</v>
      </c>
      <c r="C389" t="s">
        <v>1465</v>
      </c>
      <c r="D389" s="6">
        <v>127000000</v>
      </c>
      <c r="E389" t="s">
        <v>423</v>
      </c>
      <c r="F389"/>
      <c r="G389" t="s">
        <v>1273</v>
      </c>
      <c r="H389" t="s">
        <v>424</v>
      </c>
      <c r="I389" t="s">
        <v>426</v>
      </c>
      <c r="J389" s="28">
        <v>42445</v>
      </c>
      <c r="K389" t="s">
        <v>991</v>
      </c>
      <c r="L389" t="s">
        <v>67</v>
      </c>
      <c r="M389" t="s">
        <v>1283</v>
      </c>
      <c r="N389" t="s">
        <v>427</v>
      </c>
      <c r="O389" t="s">
        <v>425</v>
      </c>
      <c r="P389"/>
      <c r="Q389" t="s">
        <v>17</v>
      </c>
      <c r="R389" t="s">
        <v>353</v>
      </c>
      <c r="S389" t="s">
        <v>703</v>
      </c>
      <c r="T389">
        <f>315/2</f>
        <v>157.5</v>
      </c>
      <c r="U389" s="2">
        <f>Table1[[#This Row],[Coal Power Plant Size (MW) or Share]]*0.593*9057*211.9*10^(-9)</f>
        <v>0.17924645527425001</v>
      </c>
      <c r="V389" s="2">
        <f>Table1[[#This Row],[Annual Emissions (MMTCO2)]]*40</f>
        <v>7.1698582109700002</v>
      </c>
      <c r="W389"/>
      <c r="X389"/>
      <c r="Y389"/>
      <c r="Z389" s="1"/>
      <c r="AA389" s="1"/>
    </row>
    <row r="390" spans="1:27" ht="27" hidden="1" customHeight="1">
      <c r="A390" t="s">
        <v>298</v>
      </c>
      <c r="B390" t="s">
        <v>300</v>
      </c>
      <c r="C390" t="s">
        <v>1465</v>
      </c>
      <c r="D390" s="6">
        <v>3421000000</v>
      </c>
      <c r="E390" t="s">
        <v>437</v>
      </c>
      <c r="F390"/>
      <c r="G390"/>
      <c r="H390" t="s">
        <v>994</v>
      </c>
      <c r="I390" t="s">
        <v>438</v>
      </c>
      <c r="J390" s="28">
        <v>42528</v>
      </c>
      <c r="K390" t="s">
        <v>991</v>
      </c>
      <c r="L390" t="s">
        <v>67</v>
      </c>
      <c r="M390"/>
      <c r="N390" t="s">
        <v>1129</v>
      </c>
      <c r="O390" t="s">
        <v>439</v>
      </c>
      <c r="P390" t="s">
        <v>440</v>
      </c>
      <c r="Q390" t="s">
        <v>17</v>
      </c>
      <c r="R390" t="s">
        <v>18</v>
      </c>
      <c r="S390" t="s">
        <v>703</v>
      </c>
      <c r="T390">
        <v>2000</v>
      </c>
      <c r="U390" s="2">
        <f>Table1[[#This Row],[Coal Power Plant Size (MW) or Share]]*0.593*9057*211.9*10^(-9)</f>
        <v>2.2761454638000003</v>
      </c>
      <c r="V390" s="2">
        <f>Table1[[#This Row],[Annual Emissions (MMTCO2)]]*40</f>
        <v>91.045818552000014</v>
      </c>
      <c r="W390"/>
      <c r="X390"/>
      <c r="Y390"/>
      <c r="Z390" s="1"/>
      <c r="AA390" s="1"/>
    </row>
    <row r="391" spans="1:27" ht="27" hidden="1" customHeight="1">
      <c r="A391" t="s">
        <v>298</v>
      </c>
      <c r="B391" t="s">
        <v>300</v>
      </c>
      <c r="C391" t="s">
        <v>1465</v>
      </c>
      <c r="D391" s="6">
        <v>1678000000</v>
      </c>
      <c r="E391" t="s">
        <v>1016</v>
      </c>
      <c r="F391" t="s">
        <v>1017</v>
      </c>
      <c r="G391"/>
      <c r="H391" t="s">
        <v>1225</v>
      </c>
      <c r="I391" t="s">
        <v>1098</v>
      </c>
      <c r="J391" s="28">
        <v>42790</v>
      </c>
      <c r="K391" t="s">
        <v>991</v>
      </c>
      <c r="L391" t="s">
        <v>67</v>
      </c>
      <c r="M391"/>
      <c r="N391" t="s">
        <v>551</v>
      </c>
      <c r="O391"/>
      <c r="P391" t="s">
        <v>550</v>
      </c>
      <c r="Q391" t="s">
        <v>17</v>
      </c>
      <c r="R391" t="s">
        <v>353</v>
      </c>
      <c r="S391" t="s">
        <v>703</v>
      </c>
      <c r="T391">
        <v>1000</v>
      </c>
      <c r="U391" s="2">
        <f>Table1[[#This Row],[Coal Power Plant Size (MW) or Share]]*0.593*9057*211.9*10^(-9)</f>
        <v>1.1380727319000001</v>
      </c>
      <c r="V391" s="2">
        <f>Table1[[#This Row],[Annual Emissions (MMTCO2)]]*40</f>
        <v>45.522909276000007</v>
      </c>
      <c r="W391"/>
      <c r="X391"/>
      <c r="Y391"/>
      <c r="Z391" s="1"/>
      <c r="AA391" s="1"/>
    </row>
    <row r="392" spans="1:27" ht="27" hidden="1" customHeight="1">
      <c r="A392" t="s">
        <v>298</v>
      </c>
      <c r="B392" t="s">
        <v>299</v>
      </c>
      <c r="C392" t="s">
        <v>1465</v>
      </c>
      <c r="D392" s="6">
        <v>1678000000</v>
      </c>
      <c r="E392" t="s">
        <v>1016</v>
      </c>
      <c r="F392" t="s">
        <v>1017</v>
      </c>
      <c r="G392"/>
      <c r="H392" t="s">
        <v>1225</v>
      </c>
      <c r="I392" t="s">
        <v>1018</v>
      </c>
      <c r="J392" s="28">
        <v>42790</v>
      </c>
      <c r="K392" t="s">
        <v>991</v>
      </c>
      <c r="L392" t="s">
        <v>67</v>
      </c>
      <c r="M392"/>
      <c r="N392" t="s">
        <v>551</v>
      </c>
      <c r="O392"/>
      <c r="P392" t="s">
        <v>553</v>
      </c>
      <c r="Q392" t="s">
        <v>17</v>
      </c>
      <c r="R392" t="s">
        <v>353</v>
      </c>
      <c r="S392" t="s">
        <v>703</v>
      </c>
      <c r="T392">
        <v>1000</v>
      </c>
      <c r="U392" s="2">
        <f>Table1[[#This Row],[Coal Power Plant Size (MW) or Share]]*0.593*9057*211.9*10^(-9)</f>
        <v>1.1380727319000001</v>
      </c>
      <c r="V392" s="2">
        <f>Table1[[#This Row],[Annual Emissions (MMTCO2)]]*40</f>
        <v>45.522909276000007</v>
      </c>
      <c r="W392"/>
      <c r="X392"/>
      <c r="Y392"/>
      <c r="Z392" s="1"/>
      <c r="AA392" s="1"/>
    </row>
    <row r="393" spans="1:27" ht="27" hidden="1" customHeight="1">
      <c r="A393" t="s">
        <v>298</v>
      </c>
      <c r="B393" t="s">
        <v>300</v>
      </c>
      <c r="C393" t="s">
        <v>1465</v>
      </c>
      <c r="D393" s="6">
        <v>200000000</v>
      </c>
      <c r="E393" t="s">
        <v>481</v>
      </c>
      <c r="F393"/>
      <c r="G393"/>
      <c r="H393" t="s">
        <v>482</v>
      </c>
      <c r="I393" t="s">
        <v>762</v>
      </c>
      <c r="J393" s="28">
        <v>54789</v>
      </c>
      <c r="K393" t="s">
        <v>1482</v>
      </c>
      <c r="L393" t="s">
        <v>29</v>
      </c>
      <c r="M393" t="s">
        <v>1247</v>
      </c>
      <c r="N393" t="s">
        <v>493</v>
      </c>
      <c r="O393" t="s">
        <v>833</v>
      </c>
      <c r="P393"/>
      <c r="Q393" t="s">
        <v>17</v>
      </c>
      <c r="R393" t="s">
        <v>18</v>
      </c>
      <c r="S393" t="s">
        <v>476</v>
      </c>
      <c r="T393">
        <f>300/3</f>
        <v>100</v>
      </c>
      <c r="U393" s="2">
        <f>Table1[[#This Row],[Coal Power Plant Size (MW) or Share]]*0.593*9057*211.9*10^(-9)</f>
        <v>0.11380727319</v>
      </c>
      <c r="V393" s="2">
        <f>Table1[[#This Row],[Annual Emissions (MMTCO2)]]*40</f>
        <v>4.5522909275999996</v>
      </c>
      <c r="W393"/>
      <c r="X393"/>
      <c r="Y393"/>
      <c r="Z393" s="1"/>
      <c r="AA393" s="1"/>
    </row>
    <row r="394" spans="1:27" ht="27" hidden="1" customHeight="1">
      <c r="A394" t="s">
        <v>298</v>
      </c>
      <c r="B394" t="s">
        <v>299</v>
      </c>
      <c r="C394" t="s">
        <v>1465</v>
      </c>
      <c r="D394" s="6">
        <v>200000000</v>
      </c>
      <c r="E394" t="s">
        <v>481</v>
      </c>
      <c r="F394"/>
      <c r="G394"/>
      <c r="H394" t="s">
        <v>482</v>
      </c>
      <c r="I394" t="s">
        <v>762</v>
      </c>
      <c r="J394" s="28">
        <v>54789</v>
      </c>
      <c r="K394" t="s">
        <v>1482</v>
      </c>
      <c r="L394" t="s">
        <v>29</v>
      </c>
      <c r="M394" t="s">
        <v>1247</v>
      </c>
      <c r="N394" t="s">
        <v>493</v>
      </c>
      <c r="O394" t="s">
        <v>833</v>
      </c>
      <c r="P394"/>
      <c r="Q394" t="s">
        <v>17</v>
      </c>
      <c r="R394" t="s">
        <v>18</v>
      </c>
      <c r="S394" t="s">
        <v>476</v>
      </c>
      <c r="T394">
        <f>300/3</f>
        <v>100</v>
      </c>
      <c r="U394" s="2">
        <f>Table1[[#This Row],[Coal Power Plant Size (MW) or Share]]*0.593*9057*211.9*10^(-9)</f>
        <v>0.11380727319</v>
      </c>
      <c r="V394" s="2">
        <f>Table1[[#This Row],[Annual Emissions (MMTCO2)]]*40</f>
        <v>4.5522909275999996</v>
      </c>
      <c r="W394"/>
      <c r="X394"/>
      <c r="Y394"/>
      <c r="Z394" s="1"/>
      <c r="AA394" s="1"/>
    </row>
    <row r="395" spans="1:27" ht="27" hidden="1" customHeight="1">
      <c r="A395" t="s">
        <v>298</v>
      </c>
      <c r="B395" t="s">
        <v>1122</v>
      </c>
      <c r="C395" t="s">
        <v>552</v>
      </c>
      <c r="D395" s="6"/>
      <c r="E395" t="s">
        <v>1145</v>
      </c>
      <c r="F395" t="s">
        <v>846</v>
      </c>
      <c r="G395"/>
      <c r="H395" t="s">
        <v>847</v>
      </c>
      <c r="I395" t="s">
        <v>806</v>
      </c>
      <c r="J395" s="28">
        <v>54789</v>
      </c>
      <c r="K395" t="s">
        <v>993</v>
      </c>
      <c r="L395" t="s">
        <v>213</v>
      </c>
      <c r="M395"/>
      <c r="N395" t="s">
        <v>1146</v>
      </c>
      <c r="O395" t="s">
        <v>850</v>
      </c>
      <c r="P395"/>
      <c r="Q395" t="s">
        <v>17</v>
      </c>
      <c r="R395" t="s">
        <v>18</v>
      </c>
      <c r="S395" t="s">
        <v>476</v>
      </c>
      <c r="T395">
        <v>4000</v>
      </c>
      <c r="U395" s="2">
        <f>Table1[[#This Row],[Coal Power Plant Size (MW) or Share]]*0.593*9057*211.9*10^(-9)</f>
        <v>4.5522909276000005</v>
      </c>
      <c r="V395" s="2">
        <f>Table1[[#This Row],[Annual Emissions (MMTCO2)]]*40</f>
        <v>182.09163710400003</v>
      </c>
      <c r="W395"/>
      <c r="X395"/>
      <c r="Y395"/>
      <c r="Z395" s="1"/>
      <c r="AA395" s="1"/>
    </row>
    <row r="396" spans="1:27" ht="27" hidden="1" customHeight="1">
      <c r="A396" t="s">
        <v>298</v>
      </c>
      <c r="B396" t="s">
        <v>552</v>
      </c>
      <c r="C396" t="s">
        <v>552</v>
      </c>
      <c r="D396" s="6"/>
      <c r="E396"/>
      <c r="F396" t="s">
        <v>1141</v>
      </c>
      <c r="G396"/>
      <c r="H396" t="s">
        <v>855</v>
      </c>
      <c r="I396" t="s">
        <v>806</v>
      </c>
      <c r="J396" s="28">
        <v>54789</v>
      </c>
      <c r="K396" t="s">
        <v>993</v>
      </c>
      <c r="L396" t="s">
        <v>213</v>
      </c>
      <c r="M396" t="s">
        <v>1142</v>
      </c>
      <c r="N396" t="s">
        <v>854</v>
      </c>
      <c r="O396" t="s">
        <v>1143</v>
      </c>
      <c r="P396"/>
      <c r="Q396" t="s">
        <v>17</v>
      </c>
      <c r="R396" t="s">
        <v>18</v>
      </c>
      <c r="S396" t="s">
        <v>476</v>
      </c>
      <c r="T396">
        <v>4000</v>
      </c>
      <c r="U396" s="2">
        <f>Table1[[#This Row],[Coal Power Plant Size (MW) or Share]]*0.593*9057*211.9*10^(-9)</f>
        <v>4.5522909276000005</v>
      </c>
      <c r="V396" s="2">
        <f>Table1[[#This Row],[Annual Emissions (MMTCO2)]]*40</f>
        <v>182.09163710400003</v>
      </c>
      <c r="W396"/>
      <c r="X396"/>
      <c r="Y396"/>
      <c r="Z396" s="1"/>
      <c r="AA396" s="1"/>
    </row>
    <row r="397" spans="1:27" ht="27" hidden="1" customHeight="1">
      <c r="A397" t="s">
        <v>298</v>
      </c>
      <c r="B397" t="s">
        <v>552</v>
      </c>
      <c r="C397" t="s">
        <v>552</v>
      </c>
      <c r="D397" s="6"/>
      <c r="E397"/>
      <c r="F397" t="s">
        <v>1140</v>
      </c>
      <c r="G397"/>
      <c r="H397" t="s">
        <v>851</v>
      </c>
      <c r="I397" t="s">
        <v>806</v>
      </c>
      <c r="J397" s="28">
        <v>54789</v>
      </c>
      <c r="K397" t="s">
        <v>993</v>
      </c>
      <c r="L397" t="s">
        <v>213</v>
      </c>
      <c r="M397" t="s">
        <v>853</v>
      </c>
      <c r="N397" t="s">
        <v>852</v>
      </c>
      <c r="O397" t="s">
        <v>1143</v>
      </c>
      <c r="P397"/>
      <c r="Q397" t="s">
        <v>17</v>
      </c>
      <c r="R397" t="s">
        <v>18</v>
      </c>
      <c r="S397" t="s">
        <v>476</v>
      </c>
      <c r="T397">
        <v>2000</v>
      </c>
      <c r="U397" s="2">
        <f>Table1[[#This Row],[Coal Power Plant Size (MW) or Share]]*0.593*9057*211.9*10^(-9)</f>
        <v>2.2761454638000003</v>
      </c>
      <c r="V397" s="2">
        <f>Table1[[#This Row],[Annual Emissions (MMTCO2)]]*40</f>
        <v>91.045818552000014</v>
      </c>
      <c r="W397"/>
      <c r="X397"/>
      <c r="Y397"/>
      <c r="Z397" s="1"/>
      <c r="AA397" s="1"/>
    </row>
    <row r="398" spans="1:27" ht="27" hidden="1" customHeight="1">
      <c r="A398" t="s">
        <v>298</v>
      </c>
      <c r="B398" t="s">
        <v>301</v>
      </c>
      <c r="C398" t="s">
        <v>126</v>
      </c>
      <c r="D398" s="6">
        <v>0</v>
      </c>
      <c r="E398"/>
      <c r="F398"/>
      <c r="G398"/>
      <c r="H398" t="s">
        <v>1187</v>
      </c>
      <c r="I398" t="s">
        <v>817</v>
      </c>
      <c r="J398" s="28">
        <v>54789</v>
      </c>
      <c r="K398" t="s">
        <v>989</v>
      </c>
      <c r="L398" t="s">
        <v>26</v>
      </c>
      <c r="M398"/>
      <c r="N398" t="s">
        <v>941</v>
      </c>
      <c r="O398"/>
      <c r="P398"/>
      <c r="Q398" t="s">
        <v>17</v>
      </c>
      <c r="R398" t="s">
        <v>353</v>
      </c>
      <c r="S398" t="s">
        <v>1443</v>
      </c>
      <c r="T398">
        <v>660</v>
      </c>
      <c r="U398" s="2">
        <f>Table1[[#This Row],[Coal Power Plant Size (MW) or Share]]*0.593*9057*211.9*10^(-9)</f>
        <v>0.75112800305400007</v>
      </c>
      <c r="V398" s="2">
        <f>Table1[[#This Row],[Annual Emissions (MMTCO2)]]*40</f>
        <v>30.045120122160004</v>
      </c>
      <c r="W398"/>
      <c r="X398"/>
      <c r="Y398"/>
      <c r="Z398" s="1"/>
      <c r="AA398" s="1"/>
    </row>
    <row r="399" spans="1:27" ht="27" hidden="1" customHeight="1">
      <c r="A399" t="s">
        <v>298</v>
      </c>
      <c r="B399" t="s">
        <v>300</v>
      </c>
      <c r="C399" t="s">
        <v>1465</v>
      </c>
      <c r="D399" s="6">
        <v>0</v>
      </c>
      <c r="E399" t="s">
        <v>330</v>
      </c>
      <c r="F399"/>
      <c r="G399"/>
      <c r="H399" t="s">
        <v>943</v>
      </c>
      <c r="I399" t="s">
        <v>828</v>
      </c>
      <c r="J399" s="28">
        <v>54789</v>
      </c>
      <c r="K399" t="s">
        <v>989</v>
      </c>
      <c r="L399" t="s">
        <v>26</v>
      </c>
      <c r="M399"/>
      <c r="N399" t="s">
        <v>941</v>
      </c>
      <c r="O399" t="s">
        <v>827</v>
      </c>
      <c r="P399"/>
      <c r="Q399" t="s">
        <v>17</v>
      </c>
      <c r="R399" t="s">
        <v>18</v>
      </c>
      <c r="S399" t="s">
        <v>1443</v>
      </c>
      <c r="T399">
        <f>1600/2</f>
        <v>800</v>
      </c>
      <c r="U399" s="2">
        <f>Table1[[#This Row],[Coal Power Plant Size (MW) or Share]]*0.593*9057*211.9*10^(-9)</f>
        <v>0.91045818552000002</v>
      </c>
      <c r="V399" s="2">
        <f>Table1[[#This Row],[Annual Emissions (MMTCO2)]]*40</f>
        <v>36.418327420799997</v>
      </c>
      <c r="W399"/>
      <c r="X399"/>
      <c r="Y399"/>
      <c r="Z399" s="1"/>
      <c r="AA399" s="1"/>
    </row>
    <row r="400" spans="1:27" ht="27" hidden="1" customHeight="1">
      <c r="A400" t="s">
        <v>298</v>
      </c>
      <c r="B400" t="s">
        <v>299</v>
      </c>
      <c r="C400" t="s">
        <v>1465</v>
      </c>
      <c r="D400" s="6">
        <v>0</v>
      </c>
      <c r="E400" t="s">
        <v>330</v>
      </c>
      <c r="F400"/>
      <c r="G400"/>
      <c r="H400" t="s">
        <v>943</v>
      </c>
      <c r="I400" t="s">
        <v>828</v>
      </c>
      <c r="J400" s="28">
        <v>54789</v>
      </c>
      <c r="K400" t="s">
        <v>989</v>
      </c>
      <c r="L400" t="s">
        <v>26</v>
      </c>
      <c r="M400"/>
      <c r="N400" t="s">
        <v>1444</v>
      </c>
      <c r="O400"/>
      <c r="P400"/>
      <c r="Q400" t="s">
        <v>17</v>
      </c>
      <c r="R400" t="s">
        <v>17</v>
      </c>
      <c r="S400" t="s">
        <v>1443</v>
      </c>
      <c r="T400">
        <f>1600/2</f>
        <v>800</v>
      </c>
      <c r="U400" s="2">
        <f>Table1[[#This Row],[Coal Power Plant Size (MW) or Share]]*0.593*9057*211.9*10^(-9)</f>
        <v>0.91045818552000002</v>
      </c>
      <c r="V400" s="2">
        <f>Table1[[#This Row],[Annual Emissions (MMTCO2)]]*40</f>
        <v>36.418327420799997</v>
      </c>
      <c r="W400"/>
      <c r="X400"/>
      <c r="Y400"/>
      <c r="Z400" s="1"/>
      <c r="AA400" s="1"/>
    </row>
    <row r="401" spans="1:27" ht="27" hidden="1" customHeight="1">
      <c r="A401" t="s">
        <v>298</v>
      </c>
      <c r="B401" t="s">
        <v>300</v>
      </c>
      <c r="C401" t="s">
        <v>1465</v>
      </c>
      <c r="D401" s="6">
        <v>0</v>
      </c>
      <c r="E401" t="s">
        <v>526</v>
      </c>
      <c r="F401"/>
      <c r="G401"/>
      <c r="H401" t="s">
        <v>527</v>
      </c>
      <c r="I401" t="s">
        <v>828</v>
      </c>
      <c r="J401" s="28">
        <v>54789</v>
      </c>
      <c r="K401" t="s">
        <v>989</v>
      </c>
      <c r="L401" t="s">
        <v>26</v>
      </c>
      <c r="M401"/>
      <c r="N401" t="s">
        <v>942</v>
      </c>
      <c r="O401" t="s">
        <v>528</v>
      </c>
      <c r="P401"/>
      <c r="Q401" t="s">
        <v>17</v>
      </c>
      <c r="R401" t="s">
        <v>353</v>
      </c>
      <c r="S401" t="s">
        <v>1443</v>
      </c>
      <c r="T401">
        <v>1320</v>
      </c>
      <c r="U401" s="2">
        <f>Table1[[#This Row],[Coal Power Plant Size (MW) or Share]]*0.593*9057*211.9*10^(-9)</f>
        <v>1.5022560061080001</v>
      </c>
      <c r="V401" s="2">
        <f>Table1[[#This Row],[Annual Emissions (MMTCO2)]]*40</f>
        <v>60.090240244320007</v>
      </c>
      <c r="W401"/>
      <c r="X401"/>
      <c r="Y401"/>
      <c r="Z401" s="1"/>
      <c r="AA401" s="1"/>
    </row>
    <row r="402" spans="1:27" ht="27" hidden="1" customHeight="1">
      <c r="A402" t="s">
        <v>298</v>
      </c>
      <c r="B402" t="s">
        <v>299</v>
      </c>
      <c r="C402" t="s">
        <v>1465</v>
      </c>
      <c r="D402" s="6">
        <v>0</v>
      </c>
      <c r="E402"/>
      <c r="F402"/>
      <c r="G402"/>
      <c r="H402" t="s">
        <v>527</v>
      </c>
      <c r="I402"/>
      <c r="J402" s="28">
        <v>54789</v>
      </c>
      <c r="K402" t="s">
        <v>989</v>
      </c>
      <c r="L402" t="s">
        <v>26</v>
      </c>
      <c r="M402"/>
      <c r="N402" t="s">
        <v>538</v>
      </c>
      <c r="O402" t="s">
        <v>539</v>
      </c>
      <c r="P402"/>
      <c r="Q402" t="s">
        <v>17</v>
      </c>
      <c r="R402" t="s">
        <v>17</v>
      </c>
      <c r="S402" t="s">
        <v>476</v>
      </c>
      <c r="T402">
        <v>1320</v>
      </c>
      <c r="U402" s="2">
        <f>Table1[[#This Row],[Coal Power Plant Size (MW) or Share]]*0.593*9057*211.9*10^(-9)</f>
        <v>1.5022560061080001</v>
      </c>
      <c r="V402" s="2">
        <f>Table1[[#This Row],[Annual Emissions (MMTCO2)]]*40</f>
        <v>60.090240244320007</v>
      </c>
      <c r="W402"/>
      <c r="X402"/>
      <c r="Y402"/>
      <c r="Z402" s="1"/>
      <c r="AA402" s="1"/>
    </row>
    <row r="403" spans="1:27" ht="27" hidden="1" customHeight="1">
      <c r="A403" t="s">
        <v>298</v>
      </c>
      <c r="B403" t="s">
        <v>301</v>
      </c>
      <c r="C403" t="s">
        <v>126</v>
      </c>
      <c r="D403" s="6">
        <v>0</v>
      </c>
      <c r="E403"/>
      <c r="F403"/>
      <c r="G403"/>
      <c r="H403" t="s">
        <v>537</v>
      </c>
      <c r="I403"/>
      <c r="J403" s="28">
        <v>54789</v>
      </c>
      <c r="K403" t="s">
        <v>991</v>
      </c>
      <c r="L403" t="s">
        <v>67</v>
      </c>
      <c r="M403"/>
      <c r="N403"/>
      <c r="O403"/>
      <c r="P403"/>
      <c r="Q403" t="s">
        <v>17</v>
      </c>
      <c r="R403" t="s">
        <v>17</v>
      </c>
      <c r="S403" t="s">
        <v>476</v>
      </c>
      <c r="T403">
        <v>1000</v>
      </c>
      <c r="U403" s="2">
        <f>Table1[[#This Row],[Coal Power Plant Size (MW) or Share]]*0.593*9057*211.9*10^(-9)</f>
        <v>1.1380727319000001</v>
      </c>
      <c r="V403" s="2">
        <f>Table1[[#This Row],[Annual Emissions (MMTCO2)]]*40</f>
        <v>45.522909276000007</v>
      </c>
      <c r="W403"/>
      <c r="X403"/>
      <c r="Y403"/>
      <c r="Z403" s="1"/>
      <c r="AA403" s="1"/>
    </row>
    <row r="404" spans="1:27" ht="27" hidden="1" customHeight="1">
      <c r="A404" t="s">
        <v>298</v>
      </c>
      <c r="B404" t="s">
        <v>300</v>
      </c>
      <c r="C404" t="s">
        <v>1465</v>
      </c>
      <c r="D404" s="6"/>
      <c r="E404" t="s">
        <v>531</v>
      </c>
      <c r="F404"/>
      <c r="G404"/>
      <c r="H404" t="s">
        <v>532</v>
      </c>
      <c r="I404" t="s">
        <v>533</v>
      </c>
      <c r="J404" s="28">
        <v>54789</v>
      </c>
      <c r="K404" t="s">
        <v>1451</v>
      </c>
      <c r="L404" t="s">
        <v>36</v>
      </c>
      <c r="M404"/>
      <c r="N404" t="s">
        <v>534</v>
      </c>
      <c r="O404" t="s">
        <v>535</v>
      </c>
      <c r="P404"/>
      <c r="Q404" t="s">
        <v>17</v>
      </c>
      <c r="R404" t="s">
        <v>18</v>
      </c>
      <c r="S404" t="s">
        <v>476</v>
      </c>
      <c r="T404">
        <f>463.5/4</f>
        <v>115.875</v>
      </c>
      <c r="U404" s="2">
        <f>Table1[[#This Row],[Coal Power Plant Size (MW) or Share]]*0.593*9057*211.9*10^(-9)</f>
        <v>0.1318741778089125</v>
      </c>
      <c r="V404" s="2">
        <f>Table1[[#This Row],[Annual Emissions (MMTCO2)]]*40</f>
        <v>5.2749671123565003</v>
      </c>
      <c r="W404"/>
      <c r="X404"/>
      <c r="Y404"/>
      <c r="Z404" s="1"/>
      <c r="AA404" s="1"/>
    </row>
    <row r="405" spans="1:27" ht="27" hidden="1" customHeight="1">
      <c r="A405" t="s">
        <v>298</v>
      </c>
      <c r="B405" t="s">
        <v>299</v>
      </c>
      <c r="C405" t="s">
        <v>1465</v>
      </c>
      <c r="D405" s="6"/>
      <c r="E405"/>
      <c r="F405"/>
      <c r="G405"/>
      <c r="H405" t="s">
        <v>532</v>
      </c>
      <c r="I405" t="s">
        <v>533</v>
      </c>
      <c r="J405" s="28">
        <v>54789</v>
      </c>
      <c r="K405" t="s">
        <v>1451</v>
      </c>
      <c r="L405" t="s">
        <v>36</v>
      </c>
      <c r="M405"/>
      <c r="N405" t="s">
        <v>540</v>
      </c>
      <c r="O405" t="s">
        <v>535</v>
      </c>
      <c r="P405"/>
      <c r="Q405" t="s">
        <v>17</v>
      </c>
      <c r="R405" t="s">
        <v>17</v>
      </c>
      <c r="S405" t="s">
        <v>476</v>
      </c>
      <c r="T405">
        <f>463.5/4</f>
        <v>115.875</v>
      </c>
      <c r="U405" s="2">
        <f>Table1[[#This Row],[Coal Power Plant Size (MW) or Share]]*0.593*9057*211.9*10^(-9)</f>
        <v>0.1318741778089125</v>
      </c>
      <c r="V405" s="2">
        <f>Table1[[#This Row],[Annual Emissions (MMTCO2)]]*40</f>
        <v>5.2749671123565003</v>
      </c>
      <c r="W405"/>
      <c r="X405"/>
      <c r="Y405"/>
      <c r="Z405" s="1"/>
      <c r="AA405" s="1"/>
    </row>
    <row r="406" spans="1:27" ht="27" hidden="1" customHeight="1">
      <c r="A406" t="s">
        <v>298</v>
      </c>
      <c r="B406" t="s">
        <v>301</v>
      </c>
      <c r="C406" t="s">
        <v>1465</v>
      </c>
      <c r="D406" s="6">
        <v>94350000</v>
      </c>
      <c r="E406" t="s">
        <v>443</v>
      </c>
      <c r="F406" t="s">
        <v>999</v>
      </c>
      <c r="G406"/>
      <c r="H406" t="s">
        <v>863</v>
      </c>
      <c r="I406" t="s">
        <v>2019</v>
      </c>
      <c r="J406" s="28">
        <v>54789</v>
      </c>
      <c r="K406" t="s">
        <v>989</v>
      </c>
      <c r="L406" t="s">
        <v>97</v>
      </c>
      <c r="M406" t="s">
        <v>2018</v>
      </c>
      <c r="N406" t="s">
        <v>1000</v>
      </c>
      <c r="O406" t="s">
        <v>998</v>
      </c>
      <c r="P406" t="s">
        <v>1001</v>
      </c>
      <c r="Q406" t="s">
        <v>17</v>
      </c>
      <c r="R406" t="s">
        <v>18</v>
      </c>
      <c r="S406" t="s">
        <v>476</v>
      </c>
      <c r="T406">
        <v>1200</v>
      </c>
      <c r="U406" s="2">
        <f>Table1[[#This Row],[Coal Power Plant Size (MW) or Share]]*0.593*9057*211.9*10^(-9)</f>
        <v>1.36568727828</v>
      </c>
      <c r="V406" s="2">
        <f>Table1[[#This Row],[Annual Emissions (MMTCO2)]]*40</f>
        <v>54.627491131200003</v>
      </c>
      <c r="W406"/>
      <c r="X406"/>
      <c r="Y406"/>
      <c r="Z406" s="1"/>
      <c r="AA406" s="1"/>
    </row>
    <row r="407" spans="1:27" ht="27" hidden="1" customHeight="1">
      <c r="A407" t="s">
        <v>298</v>
      </c>
      <c r="B407" t="s">
        <v>301</v>
      </c>
      <c r="C407" t="s">
        <v>126</v>
      </c>
      <c r="D407" s="6"/>
      <c r="E407"/>
      <c r="F407"/>
      <c r="G407"/>
      <c r="H407" t="s">
        <v>939</v>
      </c>
      <c r="I407"/>
      <c r="J407" s="28">
        <v>54789</v>
      </c>
      <c r="K407" t="s">
        <v>991</v>
      </c>
      <c r="L407" t="s">
        <v>98</v>
      </c>
      <c r="M407"/>
      <c r="N407" t="s">
        <v>536</v>
      </c>
      <c r="O407"/>
      <c r="P407"/>
      <c r="Q407" t="s">
        <v>17</v>
      </c>
      <c r="R407" t="s">
        <v>17</v>
      </c>
      <c r="S407" t="s">
        <v>1443</v>
      </c>
      <c r="T407">
        <v>1200</v>
      </c>
      <c r="U407" s="2">
        <f>Table1[[#This Row],[Coal Power Plant Size (MW) or Share]]*0.593*9057*211.9*10^(-9)</f>
        <v>1.36568727828</v>
      </c>
      <c r="V407" s="2">
        <f>Table1[[#This Row],[Annual Emissions (MMTCO2)]]*40</f>
        <v>54.627491131200003</v>
      </c>
      <c r="W407"/>
      <c r="X407"/>
      <c r="Y407"/>
      <c r="Z407" s="1"/>
      <c r="AA407" s="1"/>
    </row>
    <row r="408" spans="1:27" ht="27" hidden="1" customHeight="1">
      <c r="A408" t="s">
        <v>298</v>
      </c>
      <c r="B408" t="s">
        <v>300</v>
      </c>
      <c r="C408" t="s">
        <v>1465</v>
      </c>
      <c r="D408" s="6">
        <v>862500000</v>
      </c>
      <c r="E408" t="s">
        <v>459</v>
      </c>
      <c r="F408"/>
      <c r="G408"/>
      <c r="H408" t="s">
        <v>460</v>
      </c>
      <c r="I408" t="s">
        <v>461</v>
      </c>
      <c r="J408" s="28">
        <v>54789</v>
      </c>
      <c r="K408" t="s">
        <v>991</v>
      </c>
      <c r="L408" t="s">
        <v>98</v>
      </c>
      <c r="M408"/>
      <c r="N408" t="s">
        <v>2021</v>
      </c>
      <c r="O408" t="s">
        <v>461</v>
      </c>
      <c r="P408" t="s">
        <v>2010</v>
      </c>
      <c r="Q408" t="s">
        <v>17</v>
      </c>
      <c r="R408" t="s">
        <v>18</v>
      </c>
      <c r="S408" t="s">
        <v>476</v>
      </c>
      <c r="T408">
        <v>600</v>
      </c>
      <c r="U408" s="2">
        <f>Table1[[#This Row],[Coal Power Plant Size (MW) or Share]]*0.593*9057*211.9*10^(-9)</f>
        <v>0.68284363914000001</v>
      </c>
      <c r="V408" s="2">
        <f>Table1[[#This Row],[Annual Emissions (MMTCO2)]]*40</f>
        <v>27.313745565600001</v>
      </c>
      <c r="W408"/>
      <c r="X408"/>
      <c r="Y408"/>
      <c r="Z408" s="1"/>
      <c r="AA408" s="1"/>
    </row>
    <row r="409" spans="1:27" ht="27" hidden="1" customHeight="1">
      <c r="A409" t="s">
        <v>298</v>
      </c>
      <c r="B409" t="s">
        <v>300</v>
      </c>
      <c r="C409" t="s">
        <v>1465</v>
      </c>
      <c r="D409" s="6">
        <v>202900000</v>
      </c>
      <c r="E409" t="s">
        <v>479</v>
      </c>
      <c r="F409" t="s">
        <v>948</v>
      </c>
      <c r="G409"/>
      <c r="H409" t="s">
        <v>946</v>
      </c>
      <c r="I409" t="s">
        <v>947</v>
      </c>
      <c r="J409" s="28">
        <v>54789</v>
      </c>
      <c r="K409" t="s">
        <v>991</v>
      </c>
      <c r="L409" t="s">
        <v>98</v>
      </c>
      <c r="M409" t="s">
        <v>949</v>
      </c>
      <c r="N409" t="s">
        <v>952</v>
      </c>
      <c r="O409" t="s">
        <v>480</v>
      </c>
      <c r="P409" t="s">
        <v>494</v>
      </c>
      <c r="Q409" t="s">
        <v>17</v>
      </c>
      <c r="R409" t="s">
        <v>18</v>
      </c>
      <c r="S409" t="s">
        <v>476</v>
      </c>
      <c r="T409">
        <f>600/4</f>
        <v>150</v>
      </c>
      <c r="U409" s="2">
        <f>Table1[[#This Row],[Coal Power Plant Size (MW) or Share]]*0.593*9057*211.9*10^(-9)</f>
        <v>0.170710909785</v>
      </c>
      <c r="V409" s="2">
        <f>Table1[[#This Row],[Annual Emissions (MMTCO2)]]*40</f>
        <v>6.8284363914000004</v>
      </c>
      <c r="W409"/>
      <c r="X409"/>
      <c r="Y409"/>
      <c r="Z409" s="1"/>
      <c r="AA409" s="1"/>
    </row>
    <row r="410" spans="1:27" ht="27" hidden="1" customHeight="1">
      <c r="A410" t="s">
        <v>298</v>
      </c>
      <c r="B410" t="s">
        <v>299</v>
      </c>
      <c r="C410" t="s">
        <v>1465</v>
      </c>
      <c r="D410" s="6">
        <v>0</v>
      </c>
      <c r="E410" t="s">
        <v>479</v>
      </c>
      <c r="F410" t="s">
        <v>948</v>
      </c>
      <c r="G410"/>
      <c r="H410" t="s">
        <v>946</v>
      </c>
      <c r="I410" t="s">
        <v>947</v>
      </c>
      <c r="J410" s="28">
        <v>54789</v>
      </c>
      <c r="K410" t="s">
        <v>991</v>
      </c>
      <c r="L410" t="s">
        <v>98</v>
      </c>
      <c r="M410" t="s">
        <v>949</v>
      </c>
      <c r="N410" t="s">
        <v>952</v>
      </c>
      <c r="O410" t="s">
        <v>480</v>
      </c>
      <c r="P410" t="s">
        <v>951</v>
      </c>
      <c r="Q410" t="s">
        <v>17</v>
      </c>
      <c r="R410" t="s">
        <v>17</v>
      </c>
      <c r="S410" t="s">
        <v>476</v>
      </c>
      <c r="T410">
        <f>600/4</f>
        <v>150</v>
      </c>
      <c r="U410" s="2">
        <f>Table1[[#This Row],[Coal Power Plant Size (MW) or Share]]*0.593*9057*211.9*10^(-9)</f>
        <v>0.170710909785</v>
      </c>
      <c r="V410" s="2">
        <f>Table1[[#This Row],[Annual Emissions (MMTCO2)]]*40</f>
        <v>6.8284363914000004</v>
      </c>
      <c r="W410"/>
      <c r="X410"/>
      <c r="Y410"/>
      <c r="Z410" s="1"/>
      <c r="AA410" s="1"/>
    </row>
    <row r="411" spans="1:27" ht="27" hidden="1" customHeight="1">
      <c r="A411" t="s">
        <v>298</v>
      </c>
      <c r="B411" t="s">
        <v>300</v>
      </c>
      <c r="C411" t="s">
        <v>1465</v>
      </c>
      <c r="D411" s="6">
        <v>0</v>
      </c>
      <c r="E411" t="s">
        <v>1100</v>
      </c>
      <c r="F411"/>
      <c r="G411"/>
      <c r="H411" t="s">
        <v>444</v>
      </c>
      <c r="I411" t="s">
        <v>1101</v>
      </c>
      <c r="J411" s="28">
        <v>54789</v>
      </c>
      <c r="K411" t="s">
        <v>991</v>
      </c>
      <c r="L411" t="s">
        <v>445</v>
      </c>
      <c r="M411" t="s">
        <v>1102</v>
      </c>
      <c r="N411" t="s">
        <v>446</v>
      </c>
      <c r="O411" t="s">
        <v>1961</v>
      </c>
      <c r="P411" t="s">
        <v>1103</v>
      </c>
      <c r="Q411" t="s">
        <v>17</v>
      </c>
      <c r="R411" t="s">
        <v>18</v>
      </c>
      <c r="S411" t="s">
        <v>476</v>
      </c>
      <c r="T411">
        <v>1280</v>
      </c>
      <c r="U411" s="2">
        <f>Table1[[#This Row],[Coal Power Plant Size (MW) or Share]]*0.593*9057*211.9*10^(-9)</f>
        <v>1.4567330968319998</v>
      </c>
      <c r="V411" s="2">
        <f>Table1[[#This Row],[Annual Emissions (MMTCO2)]]*40</f>
        <v>58.269323873279994</v>
      </c>
      <c r="W411"/>
      <c r="X411"/>
      <c r="Y411"/>
      <c r="Z411" s="1"/>
      <c r="AA411" s="1"/>
    </row>
    <row r="412" spans="1:27" ht="27" hidden="1" customHeight="1">
      <c r="A412" t="s">
        <v>298</v>
      </c>
      <c r="B412" t="s">
        <v>300</v>
      </c>
      <c r="C412" t="s">
        <v>1465</v>
      </c>
      <c r="D412" s="6">
        <v>650000000</v>
      </c>
      <c r="E412" t="s">
        <v>465</v>
      </c>
      <c r="F412"/>
      <c r="G412"/>
      <c r="H412" t="s">
        <v>2022</v>
      </c>
      <c r="I412" t="s">
        <v>466</v>
      </c>
      <c r="J412" s="28">
        <v>54789</v>
      </c>
      <c r="K412" t="s">
        <v>991</v>
      </c>
      <c r="L412" t="s">
        <v>98</v>
      </c>
      <c r="M412"/>
      <c r="N412" t="s">
        <v>2023</v>
      </c>
      <c r="O412" t="s">
        <v>927</v>
      </c>
      <c r="P412" t="s">
        <v>928</v>
      </c>
      <c r="Q412" t="s">
        <v>17</v>
      </c>
      <c r="R412" t="s">
        <v>18</v>
      </c>
      <c r="S412" t="s">
        <v>476</v>
      </c>
      <c r="T412">
        <v>1320</v>
      </c>
      <c r="U412" s="2">
        <f>Table1[[#This Row],[Coal Power Plant Size (MW) or Share]]*0.593*9057*211.9*10^(-9)</f>
        <v>1.5022560061080001</v>
      </c>
      <c r="V412" s="2">
        <f>Table1[[#This Row],[Annual Emissions (MMTCO2)]]*40</f>
        <v>60.090240244320007</v>
      </c>
      <c r="W412"/>
      <c r="X412"/>
      <c r="Y412"/>
      <c r="Z412" s="1"/>
      <c r="AA412" s="1"/>
    </row>
    <row r="413" spans="1:27" ht="27" hidden="1" customHeight="1">
      <c r="A413" t="s">
        <v>298</v>
      </c>
      <c r="B413" t="s">
        <v>300</v>
      </c>
      <c r="C413"/>
      <c r="D413" s="6">
        <v>50000000</v>
      </c>
      <c r="E413" t="s">
        <v>554</v>
      </c>
      <c r="F413" t="s">
        <v>856</v>
      </c>
      <c r="G413" t="s">
        <v>330</v>
      </c>
      <c r="H413" t="s">
        <v>555</v>
      </c>
      <c r="I413" t="s">
        <v>1963</v>
      </c>
      <c r="J413" s="28">
        <v>54789</v>
      </c>
      <c r="K413" t="s">
        <v>991</v>
      </c>
      <c r="L413" t="s">
        <v>98</v>
      </c>
      <c r="M413" t="s">
        <v>949</v>
      </c>
      <c r="N413" t="s">
        <v>1964</v>
      </c>
      <c r="O413"/>
      <c r="P413"/>
      <c r="Q413" t="s">
        <v>17</v>
      </c>
      <c r="R413" t="s">
        <v>18</v>
      </c>
      <c r="S413" t="s">
        <v>476</v>
      </c>
      <c r="T413"/>
      <c r="U413" s="2">
        <f>Table1[[#This Row],[Coal Power Plant Size (MW) or Share]]*0.593*9057*211.9*10^(-9)</f>
        <v>0</v>
      </c>
      <c r="V413" s="2">
        <f>Table1[[#This Row],[Annual Emissions (MMTCO2)]]*40</f>
        <v>0</v>
      </c>
      <c r="W413"/>
      <c r="X413"/>
      <c r="Y413"/>
      <c r="Z413" s="1"/>
      <c r="AA413" s="1"/>
    </row>
    <row r="414" spans="1:27" ht="27" hidden="1" customHeight="1">
      <c r="A414" t="s">
        <v>298</v>
      </c>
      <c r="B414" t="s">
        <v>300</v>
      </c>
      <c r="C414" t="s">
        <v>1465</v>
      </c>
      <c r="D414" s="6">
        <v>625000000</v>
      </c>
      <c r="E414" t="s">
        <v>933</v>
      </c>
      <c r="F414" t="s">
        <v>929</v>
      </c>
      <c r="G414"/>
      <c r="H414" t="s">
        <v>930</v>
      </c>
      <c r="I414" t="s">
        <v>1962</v>
      </c>
      <c r="J414" s="28">
        <v>54789</v>
      </c>
      <c r="K414" t="s">
        <v>991</v>
      </c>
      <c r="L414" t="s">
        <v>98</v>
      </c>
      <c r="M414"/>
      <c r="N414" t="s">
        <v>953</v>
      </c>
      <c r="O414" t="s">
        <v>916</v>
      </c>
      <c r="P414" t="s">
        <v>928</v>
      </c>
      <c r="Q414" t="s">
        <v>17</v>
      </c>
      <c r="R414" t="s">
        <v>18</v>
      </c>
      <c r="S414" t="s">
        <v>476</v>
      </c>
      <c r="T414">
        <v>1200</v>
      </c>
      <c r="U414" s="2">
        <f>Table1[[#This Row],[Coal Power Plant Size (MW) or Share]]*0.593*9057*211.9*10^(-9)</f>
        <v>1.36568727828</v>
      </c>
      <c r="V414" s="2">
        <f>Table1[[#This Row],[Annual Emissions (MMTCO2)]]*40</f>
        <v>54.627491131200003</v>
      </c>
      <c r="W414"/>
      <c r="X414"/>
      <c r="Y414"/>
      <c r="Z414" s="1"/>
      <c r="AA414" s="1"/>
    </row>
    <row r="415" spans="1:27" ht="27" customHeight="1">
      <c r="A415" t="s">
        <v>298</v>
      </c>
      <c r="B415" t="s">
        <v>300</v>
      </c>
      <c r="C415"/>
      <c r="D415" s="6">
        <v>730000000</v>
      </c>
      <c r="E415" t="s">
        <v>472</v>
      </c>
      <c r="F415" t="s">
        <v>1262</v>
      </c>
      <c r="G415" t="s">
        <v>1273</v>
      </c>
      <c r="H415" t="s">
        <v>473</v>
      </c>
      <c r="I415" t="s">
        <v>474</v>
      </c>
      <c r="J415" s="28">
        <v>55154</v>
      </c>
      <c r="K415" t="s">
        <v>991</v>
      </c>
      <c r="L415" t="s">
        <v>67</v>
      </c>
      <c r="M415" t="s">
        <v>1296</v>
      </c>
      <c r="N415" t="s">
        <v>2024</v>
      </c>
      <c r="O415" t="s">
        <v>776</v>
      </c>
      <c r="P415" t="s">
        <v>1968</v>
      </c>
      <c r="Q415" t="s">
        <v>17</v>
      </c>
      <c r="R415" t="s">
        <v>353</v>
      </c>
      <c r="S415" t="s">
        <v>1443</v>
      </c>
      <c r="T415">
        <f>1000/3</f>
        <v>333.33333333333331</v>
      </c>
      <c r="U415" s="2">
        <f>Table1[[#This Row],[Coal Power Plant Size (MW) or Share]]*0.593*9057*211.9*10^(-9)</f>
        <v>0.37935757730000003</v>
      </c>
      <c r="V415" s="2">
        <f>Table1[[#This Row],[Annual Emissions (MMTCO2)]]*40</f>
        <v>15.174303092000001</v>
      </c>
      <c r="W415"/>
      <c r="X415"/>
      <c r="Y415"/>
      <c r="Z415" s="1"/>
      <c r="AA415" s="1"/>
    </row>
    <row r="416" spans="1:27" ht="27" customHeight="1">
      <c r="A416" t="s">
        <v>298</v>
      </c>
      <c r="B416" t="s">
        <v>299</v>
      </c>
      <c r="C416"/>
      <c r="D416" s="6">
        <v>487200000</v>
      </c>
      <c r="E416" t="s">
        <v>472</v>
      </c>
      <c r="F416" t="s">
        <v>1262</v>
      </c>
      <c r="G416" t="s">
        <v>1273</v>
      </c>
      <c r="H416" t="s">
        <v>473</v>
      </c>
      <c r="I416" t="s">
        <v>474</v>
      </c>
      <c r="J416" s="28">
        <v>55154</v>
      </c>
      <c r="K416" t="s">
        <v>991</v>
      </c>
      <c r="L416" t="s">
        <v>67</v>
      </c>
      <c r="M416" t="s">
        <v>1296</v>
      </c>
      <c r="N416" t="s">
        <v>2024</v>
      </c>
      <c r="O416" t="s">
        <v>776</v>
      </c>
      <c r="P416" t="s">
        <v>1968</v>
      </c>
      <c r="Q416" t="s">
        <v>17</v>
      </c>
      <c r="R416" t="s">
        <v>353</v>
      </c>
      <c r="S416" t="s">
        <v>1443</v>
      </c>
      <c r="T416">
        <f>1000/3</f>
        <v>333.33333333333331</v>
      </c>
      <c r="U416" s="2">
        <f>Table1[[#This Row],[Coal Power Plant Size (MW) or Share]]*0.593*9057*211.9*10^(-9)</f>
        <v>0.37935757730000003</v>
      </c>
      <c r="V416" s="2">
        <f>Table1[[#This Row],[Annual Emissions (MMTCO2)]]*40</f>
        <v>15.174303092000001</v>
      </c>
      <c r="W416"/>
      <c r="X416"/>
      <c r="Y416"/>
      <c r="Z416" s="1"/>
      <c r="AA416" s="1"/>
    </row>
    <row r="417" spans="1:27" ht="27" customHeight="1">
      <c r="A417" t="s">
        <v>298</v>
      </c>
      <c r="C417"/>
      <c r="D417" s="6"/>
      <c r="E417" t="s">
        <v>1345</v>
      </c>
      <c r="F417" t="s">
        <v>1318</v>
      </c>
      <c r="G417" t="s">
        <v>1318</v>
      </c>
      <c r="H417" t="s">
        <v>1346</v>
      </c>
      <c r="I417"/>
      <c r="J417" s="28">
        <v>55154</v>
      </c>
      <c r="K417" t="s">
        <v>990</v>
      </c>
      <c r="L417" t="s">
        <v>1347</v>
      </c>
      <c r="M417" t="s">
        <v>1348</v>
      </c>
      <c r="N417"/>
      <c r="O417"/>
      <c r="P417"/>
      <c r="Q417" t="s">
        <v>17</v>
      </c>
      <c r="R417"/>
      <c r="S417" t="s">
        <v>1443</v>
      </c>
      <c r="T417">
        <v>135</v>
      </c>
      <c r="U417" s="2">
        <f>Table1[[#This Row],[Coal Power Plant Size (MW) or Share]]*0.593*9057*211.9*10^(-9)</f>
        <v>0.15363981880649999</v>
      </c>
      <c r="V417" s="2">
        <f>Table1[[#This Row],[Annual Emissions (MMTCO2)]]*40</f>
        <v>6.1455927522599998</v>
      </c>
      <c r="W417"/>
      <c r="X417"/>
      <c r="Y417"/>
      <c r="Z417" s="1"/>
      <c r="AA417" s="1"/>
    </row>
    <row r="418" spans="1:27" ht="27" hidden="1" customHeight="1">
      <c r="A418" t="s">
        <v>298</v>
      </c>
      <c r="B418" t="s">
        <v>300</v>
      </c>
      <c r="C418" t="s">
        <v>1465</v>
      </c>
      <c r="D418" s="6">
        <v>1473932460</v>
      </c>
      <c r="E418" t="s">
        <v>306</v>
      </c>
      <c r="F418"/>
      <c r="G418"/>
      <c r="H418" t="s">
        <v>307</v>
      </c>
      <c r="I418" t="s">
        <v>308</v>
      </c>
      <c r="J418" s="28">
        <v>41360</v>
      </c>
      <c r="K418" t="s">
        <v>1130</v>
      </c>
      <c r="L418" t="s">
        <v>86</v>
      </c>
      <c r="M418"/>
      <c r="N418"/>
      <c r="O418"/>
      <c r="P418"/>
      <c r="Q418" t="s">
        <v>54</v>
      </c>
      <c r="R418" t="s">
        <v>58</v>
      </c>
      <c r="S418" t="s">
        <v>703</v>
      </c>
      <c r="T418"/>
      <c r="U418" s="2">
        <f>Table1[[#This Row],[Coal Power Plant Size (MW) or Share]]*0.593*9057*211.9*10^(-9)</f>
        <v>0</v>
      </c>
      <c r="V418" s="2">
        <f>Table1[[#This Row],[Annual Emissions (MMTCO2)]]*40</f>
        <v>0</v>
      </c>
      <c r="W418">
        <v>5.5</v>
      </c>
      <c r="X418"/>
      <c r="Y418"/>
      <c r="Z418" s="1"/>
      <c r="AA418" s="1"/>
    </row>
    <row r="419" spans="1:27" ht="27" hidden="1" customHeight="1">
      <c r="A419" t="s">
        <v>298</v>
      </c>
      <c r="B419" t="s">
        <v>300</v>
      </c>
      <c r="C419" t="s">
        <v>1465</v>
      </c>
      <c r="D419" s="6">
        <v>500000000</v>
      </c>
      <c r="E419" t="s">
        <v>316</v>
      </c>
      <c r="F419"/>
      <c r="G419"/>
      <c r="H419" t="s">
        <v>317</v>
      </c>
      <c r="I419" t="s">
        <v>318</v>
      </c>
      <c r="J419" s="28">
        <v>41361</v>
      </c>
      <c r="K419" t="s">
        <v>990</v>
      </c>
      <c r="L419" t="s">
        <v>20</v>
      </c>
      <c r="M419"/>
      <c r="N419" t="s">
        <v>319</v>
      </c>
      <c r="O419" t="s">
        <v>303</v>
      </c>
      <c r="P419"/>
      <c r="Q419" t="s">
        <v>54</v>
      </c>
      <c r="R419" t="s">
        <v>58</v>
      </c>
      <c r="S419" t="s">
        <v>703</v>
      </c>
      <c r="T419">
        <v>236</v>
      </c>
      <c r="U419" s="2">
        <f>Table1[[#This Row],[Coal Power Plant Size (MW) or Share]]*0.593*9057*211.9*10^(-9)</f>
        <v>0.26858516472839999</v>
      </c>
      <c r="V419" s="2">
        <f>Table1[[#This Row],[Annual Emissions (MMTCO2)]]*40</f>
        <v>10.743406589136001</v>
      </c>
      <c r="W419"/>
      <c r="X419"/>
      <c r="Y419"/>
      <c r="Z419" s="1"/>
      <c r="AA419" s="1"/>
    </row>
    <row r="420" spans="1:27" ht="27" hidden="1" customHeight="1">
      <c r="A420" t="s">
        <v>298</v>
      </c>
      <c r="B420" t="s">
        <v>299</v>
      </c>
      <c r="C420" t="s">
        <v>1465</v>
      </c>
      <c r="D420" s="6">
        <v>250000000</v>
      </c>
      <c r="E420" t="s">
        <v>313</v>
      </c>
      <c r="F420"/>
      <c r="G420"/>
      <c r="H420" t="s">
        <v>314</v>
      </c>
      <c r="I420" t="s">
        <v>315</v>
      </c>
      <c r="J420" s="28">
        <v>41361</v>
      </c>
      <c r="K420" t="s">
        <v>990</v>
      </c>
      <c r="L420" t="s">
        <v>20</v>
      </c>
      <c r="M420"/>
      <c r="N420"/>
      <c r="O420"/>
      <c r="P420"/>
      <c r="Q420" t="s">
        <v>54</v>
      </c>
      <c r="R420" t="s">
        <v>58</v>
      </c>
      <c r="S420" t="s">
        <v>703</v>
      </c>
      <c r="T420">
        <v>236</v>
      </c>
      <c r="U420" s="2">
        <f>Table1[[#This Row],[Coal Power Plant Size (MW) or Share]]*0.593*9057*211.9*10^(-9)</f>
        <v>0.26858516472839999</v>
      </c>
      <c r="V420" s="2">
        <f>Table1[[#This Row],[Annual Emissions (MMTCO2)]]*40</f>
        <v>10.743406589136001</v>
      </c>
      <c r="W420"/>
      <c r="X420"/>
      <c r="Y420"/>
      <c r="Z420" s="1"/>
      <c r="AA420" s="1"/>
    </row>
    <row r="421" spans="1:27" ht="27" hidden="1" customHeight="1">
      <c r="A421" t="s">
        <v>298</v>
      </c>
      <c r="B421" t="s">
        <v>301</v>
      </c>
      <c r="C421" t="s">
        <v>126</v>
      </c>
      <c r="D421" s="6">
        <v>18371826</v>
      </c>
      <c r="E421" t="s">
        <v>309</v>
      </c>
      <c r="F421"/>
      <c r="G421"/>
      <c r="H421" t="s">
        <v>310</v>
      </c>
      <c r="I421" t="s">
        <v>311</v>
      </c>
      <c r="J421" s="28">
        <v>41361</v>
      </c>
      <c r="K421" t="s">
        <v>991</v>
      </c>
      <c r="L421" t="s">
        <v>67</v>
      </c>
      <c r="M421"/>
      <c r="N421"/>
      <c r="O421" t="s">
        <v>312</v>
      </c>
      <c r="P421"/>
      <c r="Q421" t="s">
        <v>54</v>
      </c>
      <c r="R421" t="s">
        <v>58</v>
      </c>
      <c r="S421" t="s">
        <v>703</v>
      </c>
      <c r="T421">
        <v>990</v>
      </c>
      <c r="U421" s="2">
        <f>Table1[[#This Row],[Coal Power Plant Size (MW) or Share]]*0.593*9057*211.9*10^(-9)</f>
        <v>1.1266920045809998</v>
      </c>
      <c r="V421" s="2">
        <f>Table1[[#This Row],[Annual Emissions (MMTCO2)]]*40</f>
        <v>45.067680183239993</v>
      </c>
      <c r="W421"/>
      <c r="X421"/>
      <c r="Y421"/>
      <c r="Z421" s="1"/>
      <c r="AA421" s="1"/>
    </row>
    <row r="422" spans="1:27" ht="27" hidden="1" customHeight="1">
      <c r="A422" t="s">
        <v>298</v>
      </c>
      <c r="B422" t="s">
        <v>300</v>
      </c>
      <c r="C422" t="s">
        <v>1465</v>
      </c>
      <c r="D422" s="6">
        <v>350000000</v>
      </c>
      <c r="E422" t="s">
        <v>320</v>
      </c>
      <c r="F422"/>
      <c r="G422"/>
      <c r="H422" t="s">
        <v>321</v>
      </c>
      <c r="I422" t="s">
        <v>322</v>
      </c>
      <c r="J422" s="28">
        <v>41410</v>
      </c>
      <c r="K422" t="s">
        <v>1130</v>
      </c>
      <c r="L422" t="s">
        <v>86</v>
      </c>
      <c r="M422"/>
      <c r="N422"/>
      <c r="O422"/>
      <c r="P422"/>
      <c r="Q422" t="s">
        <v>54</v>
      </c>
      <c r="R422" t="s">
        <v>58</v>
      </c>
      <c r="S422" t="s">
        <v>703</v>
      </c>
      <c r="T422"/>
      <c r="U422" s="2">
        <f>Table1[[#This Row],[Coal Power Plant Size (MW) or Share]]*0.593*9057*211.9*10^(-9)</f>
        <v>0</v>
      </c>
      <c r="V422" s="2">
        <f>Table1[[#This Row],[Annual Emissions (MMTCO2)]]*40</f>
        <v>0</v>
      </c>
      <c r="W422">
        <v>6.9</v>
      </c>
      <c r="X422"/>
      <c r="Y422"/>
      <c r="Z422" s="1"/>
      <c r="AA422" s="1"/>
    </row>
    <row r="423" spans="1:27" ht="27" hidden="1" customHeight="1">
      <c r="A423" t="s">
        <v>298</v>
      </c>
      <c r="B423" t="s">
        <v>28</v>
      </c>
      <c r="C423" t="s">
        <v>14</v>
      </c>
      <c r="D423" s="6">
        <v>10942857.707319543</v>
      </c>
      <c r="E423" t="s">
        <v>47</v>
      </c>
      <c r="F423"/>
      <c r="G423"/>
      <c r="H423" t="s">
        <v>48</v>
      </c>
      <c r="I423"/>
      <c r="J423" s="28">
        <v>42064</v>
      </c>
      <c r="K423" t="s">
        <v>1482</v>
      </c>
      <c r="L423" t="s">
        <v>49</v>
      </c>
      <c r="M423"/>
      <c r="N423" t="s">
        <v>50</v>
      </c>
      <c r="O423" t="s">
        <v>51</v>
      </c>
      <c r="P423"/>
      <c r="Q423" t="s">
        <v>54</v>
      </c>
      <c r="R423" t="s">
        <v>18</v>
      </c>
      <c r="S423" t="s">
        <v>703</v>
      </c>
      <c r="T423"/>
      <c r="U423" s="2">
        <f>Table1[[#This Row],[Coal Power Plant Size (MW) or Share]]*0.593*9057*211.9*10^(-9)</f>
        <v>0</v>
      </c>
      <c r="V423" s="2">
        <f>Table1[[#This Row],[Annual Emissions (MMTCO2)]]*40</f>
        <v>0</v>
      </c>
      <c r="W423"/>
      <c r="X423"/>
      <c r="Y423"/>
      <c r="Z423" s="1"/>
      <c r="AA423" s="1"/>
    </row>
    <row r="424" spans="1:27" ht="27" hidden="1" customHeight="1">
      <c r="A424" t="s">
        <v>298</v>
      </c>
      <c r="B424" t="s">
        <v>92</v>
      </c>
      <c r="C424" t="s">
        <v>14</v>
      </c>
      <c r="D424" s="6">
        <v>17231475.814692095</v>
      </c>
      <c r="E424" t="s">
        <v>102</v>
      </c>
      <c r="F424"/>
      <c r="G424"/>
      <c r="H424" t="s">
        <v>103</v>
      </c>
      <c r="I424" t="s">
        <v>84</v>
      </c>
      <c r="J424" s="28">
        <v>42278</v>
      </c>
      <c r="K424" t="s">
        <v>992</v>
      </c>
      <c r="L424" t="s">
        <v>104</v>
      </c>
      <c r="M424"/>
      <c r="N424" t="s">
        <v>105</v>
      </c>
      <c r="O424" t="s">
        <v>106</v>
      </c>
      <c r="P424"/>
      <c r="Q424" t="s">
        <v>54</v>
      </c>
      <c r="R424" t="s">
        <v>55</v>
      </c>
      <c r="S424" t="s">
        <v>703</v>
      </c>
      <c r="T424"/>
      <c r="U424" s="2">
        <f>Table1[[#This Row],[Coal Power Plant Size (MW) or Share]]*0.593*9057*211.9*10^(-9)</f>
        <v>0</v>
      </c>
      <c r="V424" s="2">
        <f>Table1[[#This Row],[Annual Emissions (MMTCO2)]]*40</f>
        <v>0</v>
      </c>
      <c r="W424"/>
      <c r="X424"/>
      <c r="Y424"/>
      <c r="Z424" s="1"/>
      <c r="AA424" s="1"/>
    </row>
    <row r="425" spans="1:27" ht="27" hidden="1" customHeight="1">
      <c r="A425" t="s">
        <v>298</v>
      </c>
      <c r="B425" t="s">
        <v>28</v>
      </c>
      <c r="C425" t="s">
        <v>14</v>
      </c>
      <c r="D425" s="6">
        <v>61553574.603672422</v>
      </c>
      <c r="E425" t="s">
        <v>30</v>
      </c>
      <c r="F425"/>
      <c r="G425"/>
      <c r="H425" t="s">
        <v>52</v>
      </c>
      <c r="I425" t="s">
        <v>53</v>
      </c>
      <c r="J425" s="28">
        <v>42359</v>
      </c>
      <c r="K425" t="s">
        <v>1482</v>
      </c>
      <c r="L425" t="s">
        <v>31</v>
      </c>
      <c r="M425"/>
      <c r="N425" t="s">
        <v>56</v>
      </c>
      <c r="O425" t="s">
        <v>57</v>
      </c>
      <c r="P425"/>
      <c r="Q425" t="s">
        <v>54</v>
      </c>
      <c r="R425" t="s">
        <v>55</v>
      </c>
      <c r="S425" t="s">
        <v>703</v>
      </c>
      <c r="T425"/>
      <c r="U425" s="2">
        <f>Table1[[#This Row],[Coal Power Plant Size (MW) or Share]]*0.593*9057*211.9*10^(-9)</f>
        <v>0</v>
      </c>
      <c r="V425" s="2">
        <f>Table1[[#This Row],[Annual Emissions (MMTCO2)]]*40</f>
        <v>0</v>
      </c>
      <c r="W425"/>
      <c r="X425"/>
      <c r="Y425"/>
      <c r="Z425" s="1"/>
      <c r="AA425" s="1"/>
    </row>
    <row r="426" spans="1:27" ht="27" hidden="1" customHeight="1">
      <c r="A426" t="s">
        <v>298</v>
      </c>
      <c r="B426" t="s">
        <v>419</v>
      </c>
      <c r="C426" t="s">
        <v>126</v>
      </c>
      <c r="D426" s="6">
        <v>3000000</v>
      </c>
      <c r="E426" t="s">
        <v>420</v>
      </c>
      <c r="F426"/>
      <c r="G426"/>
      <c r="H426" t="s">
        <v>1128</v>
      </c>
      <c r="I426" t="s">
        <v>421</v>
      </c>
      <c r="J426" s="28">
        <v>42439</v>
      </c>
      <c r="K426" t="s">
        <v>991</v>
      </c>
      <c r="L426" t="s">
        <v>67</v>
      </c>
      <c r="M426"/>
      <c r="N426"/>
      <c r="O426"/>
      <c r="P426"/>
      <c r="Q426" t="s">
        <v>54</v>
      </c>
      <c r="R426" t="s">
        <v>422</v>
      </c>
      <c r="S426" t="s">
        <v>703</v>
      </c>
      <c r="T426">
        <v>0</v>
      </c>
      <c r="U426" s="2">
        <f>Table1[[#This Row],[Coal Power Plant Size (MW) or Share]]*0.593*9057*211.9*10^(-9)</f>
        <v>0</v>
      </c>
      <c r="V426" s="2">
        <f>Table1[[#This Row],[Annual Emissions (MMTCO2)]]*40</f>
        <v>0</v>
      </c>
      <c r="W426"/>
      <c r="X426"/>
      <c r="Y426"/>
      <c r="Z426" s="1"/>
      <c r="AA426" s="1"/>
    </row>
    <row r="427" spans="1:27" ht="27" hidden="1" customHeight="1">
      <c r="A427" t="s">
        <v>298</v>
      </c>
      <c r="B427" t="s">
        <v>300</v>
      </c>
      <c r="C427" t="s">
        <v>1465</v>
      </c>
      <c r="D427" s="6"/>
      <c r="E427" t="s">
        <v>785</v>
      </c>
      <c r="F427"/>
      <c r="G427"/>
      <c r="H427" t="s">
        <v>489</v>
      </c>
      <c r="I427" t="s">
        <v>950</v>
      </c>
      <c r="J427" s="28">
        <v>54789</v>
      </c>
      <c r="K427" t="s">
        <v>1482</v>
      </c>
      <c r="L427" t="s">
        <v>71</v>
      </c>
      <c r="M427"/>
      <c r="N427" t="s">
        <v>784</v>
      </c>
      <c r="O427"/>
      <c r="P427"/>
      <c r="Q427" t="s">
        <v>54</v>
      </c>
      <c r="R427" t="s">
        <v>224</v>
      </c>
      <c r="S427" t="s">
        <v>476</v>
      </c>
      <c r="T427"/>
      <c r="U427" s="2">
        <f>Table1[[#This Row],[Coal Power Plant Size (MW) or Share]]*0.593*9057*211.9*10^(-9)</f>
        <v>0</v>
      </c>
      <c r="V427" s="2">
        <f>Table1[[#This Row],[Annual Emissions (MMTCO2)]]*40</f>
        <v>0</v>
      </c>
      <c r="W427"/>
      <c r="X427"/>
      <c r="Y427"/>
      <c r="Z427" s="1"/>
      <c r="AA427" s="1"/>
    </row>
    <row r="428" spans="1:27" ht="27" hidden="1" customHeight="1">
      <c r="A428" t="s">
        <v>298</v>
      </c>
      <c r="B428" t="s">
        <v>299</v>
      </c>
      <c r="C428" t="s">
        <v>1465</v>
      </c>
      <c r="D428" s="6"/>
      <c r="E428" t="s">
        <v>785</v>
      </c>
      <c r="F428"/>
      <c r="G428"/>
      <c r="H428" t="s">
        <v>489</v>
      </c>
      <c r="I428" t="s">
        <v>950</v>
      </c>
      <c r="J428" s="28">
        <v>54789</v>
      </c>
      <c r="K428" t="s">
        <v>1482</v>
      </c>
      <c r="L428" t="s">
        <v>71</v>
      </c>
      <c r="M428"/>
      <c r="N428" t="s">
        <v>784</v>
      </c>
      <c r="O428"/>
      <c r="P428"/>
      <c r="Q428" t="s">
        <v>54</v>
      </c>
      <c r="R428" t="s">
        <v>224</v>
      </c>
      <c r="S428" t="s">
        <v>476</v>
      </c>
      <c r="T428"/>
      <c r="U428" s="2">
        <f>Table1[[#This Row],[Coal Power Plant Size (MW) or Share]]*0.593*9057*211.9*10^(-9)</f>
        <v>0</v>
      </c>
      <c r="V428" s="2">
        <f>Table1[[#This Row],[Annual Emissions (MMTCO2)]]*40</f>
        <v>0</v>
      </c>
      <c r="W428"/>
      <c r="X428"/>
      <c r="Y428"/>
      <c r="Z428" s="1"/>
      <c r="AA428" s="1"/>
    </row>
    <row r="429" spans="1:27" ht="27" hidden="1" customHeight="1">
      <c r="A429" t="s">
        <v>298</v>
      </c>
      <c r="B429" t="s">
        <v>301</v>
      </c>
      <c r="C429" t="s">
        <v>126</v>
      </c>
      <c r="D429" s="6">
        <v>0</v>
      </c>
      <c r="E429" t="s">
        <v>785</v>
      </c>
      <c r="F429"/>
      <c r="G429"/>
      <c r="H429" t="s">
        <v>489</v>
      </c>
      <c r="I429" t="s">
        <v>950</v>
      </c>
      <c r="J429" s="28">
        <v>54789</v>
      </c>
      <c r="K429" t="s">
        <v>1482</v>
      </c>
      <c r="L429" t="s">
        <v>71</v>
      </c>
      <c r="M429"/>
      <c r="N429" t="s">
        <v>784</v>
      </c>
      <c r="O429"/>
      <c r="P429"/>
      <c r="Q429" t="s">
        <v>54</v>
      </c>
      <c r="R429" t="s">
        <v>224</v>
      </c>
      <c r="S429" t="s">
        <v>476</v>
      </c>
      <c r="T429"/>
      <c r="U429" s="2">
        <f>Table1[[#This Row],[Coal Power Plant Size (MW) or Share]]*0.593*9057*211.9*10^(-9)</f>
        <v>0</v>
      </c>
      <c r="V429" s="2">
        <f>Table1[[#This Row],[Annual Emissions (MMTCO2)]]*40</f>
        <v>0</v>
      </c>
      <c r="W429">
        <v>3</v>
      </c>
      <c r="X429"/>
      <c r="Y429"/>
      <c r="Z429" s="1"/>
      <c r="AA429" s="1"/>
    </row>
    <row r="430" spans="1:27" ht="27" hidden="1" customHeight="1">
      <c r="A430" t="s">
        <v>298</v>
      </c>
      <c r="B430" t="s">
        <v>1742</v>
      </c>
      <c r="C430" t="s">
        <v>126</v>
      </c>
      <c r="D430" s="6">
        <v>560000000</v>
      </c>
      <c r="E430"/>
      <c r="F430"/>
      <c r="G430"/>
      <c r="H430" t="s">
        <v>1559</v>
      </c>
      <c r="I430" t="s">
        <v>1799</v>
      </c>
      <c r="J430" s="28">
        <v>41597</v>
      </c>
      <c r="K430" t="s">
        <v>990</v>
      </c>
      <c r="L430" t="s">
        <v>1471</v>
      </c>
      <c r="M430"/>
      <c r="N430"/>
      <c r="O430"/>
      <c r="P430"/>
      <c r="Q430" t="s">
        <v>634</v>
      </c>
      <c r="R430" t="s">
        <v>638</v>
      </c>
      <c r="S430" t="s">
        <v>703</v>
      </c>
      <c r="T430">
        <f>155/2</f>
        <v>77.5</v>
      </c>
      <c r="U430" s="2">
        <f>Table1[[#This Row],[Coal Power Plant Size (MW) or Share]]*0.593*9057*211.9*10^(-9)</f>
        <v>8.8200636722250009E-2</v>
      </c>
      <c r="V430" s="2">
        <f>Table1[[#This Row],[Annual Emissions (MMTCO2)]]*40</f>
        <v>3.5280254688900001</v>
      </c>
      <c r="W430"/>
      <c r="X430">
        <f>155/2</f>
        <v>77.5</v>
      </c>
      <c r="Y430"/>
      <c r="Z430" s="1"/>
      <c r="AA430" s="1"/>
    </row>
    <row r="431" spans="1:27" ht="27" hidden="1" customHeight="1">
      <c r="A431" t="s">
        <v>298</v>
      </c>
      <c r="B431" t="s">
        <v>300</v>
      </c>
      <c r="C431" t="s">
        <v>1465</v>
      </c>
      <c r="D431" s="6">
        <v>56750000</v>
      </c>
      <c r="E431" t="s">
        <v>585</v>
      </c>
      <c r="F431"/>
      <c r="G431"/>
      <c r="H431" t="s">
        <v>619</v>
      </c>
      <c r="I431" t="s">
        <v>688</v>
      </c>
      <c r="J431" s="28">
        <v>41603</v>
      </c>
      <c r="K431" t="s">
        <v>992</v>
      </c>
      <c r="L431" t="s">
        <v>219</v>
      </c>
      <c r="M431"/>
      <c r="N431"/>
      <c r="O431"/>
      <c r="P431"/>
      <c r="Q431" t="s">
        <v>634</v>
      </c>
      <c r="R431" t="s">
        <v>638</v>
      </c>
      <c r="S431" t="s">
        <v>646</v>
      </c>
      <c r="T431">
        <f>15/2</f>
        <v>7.5</v>
      </c>
      <c r="U431" s="2">
        <f>Table1[[#This Row],[Coal Power Plant Size (MW) or Share]]*0.593*9057*211.9*10^(-9)</f>
        <v>8.5355454892500019E-3</v>
      </c>
      <c r="V431" s="2">
        <f>Table1[[#This Row],[Annual Emissions (MMTCO2)]]*40</f>
        <v>0.34142181957000006</v>
      </c>
      <c r="W431"/>
      <c r="X431">
        <f>15/2</f>
        <v>7.5</v>
      </c>
      <c r="Y431"/>
      <c r="Z431" s="1"/>
      <c r="AA431" s="1"/>
    </row>
    <row r="432" spans="1:27" ht="27" hidden="1" customHeight="1">
      <c r="A432" t="s">
        <v>298</v>
      </c>
      <c r="B432" t="s">
        <v>300</v>
      </c>
      <c r="C432" t="s">
        <v>1465</v>
      </c>
      <c r="D432" s="6">
        <v>492000000</v>
      </c>
      <c r="E432" t="s">
        <v>589</v>
      </c>
      <c r="F432"/>
      <c r="G432"/>
      <c r="H432" t="s">
        <v>614</v>
      </c>
      <c r="I432" t="s">
        <v>683</v>
      </c>
      <c r="J432" s="28">
        <v>41775</v>
      </c>
      <c r="K432" t="s">
        <v>991</v>
      </c>
      <c r="L432" t="s">
        <v>67</v>
      </c>
      <c r="M432"/>
      <c r="N432"/>
      <c r="O432"/>
      <c r="P432"/>
      <c r="Q432" t="s">
        <v>634</v>
      </c>
      <c r="R432" t="s">
        <v>638</v>
      </c>
      <c r="S432" t="s">
        <v>646</v>
      </c>
      <c r="T432">
        <f>82.5/4</f>
        <v>20.625</v>
      </c>
      <c r="U432" s="2">
        <f>Table1[[#This Row],[Coal Power Plant Size (MW) or Share]]*0.593*9057*211.9*10^(-9)</f>
        <v>2.3472750095437502E-2</v>
      </c>
      <c r="V432" s="2">
        <f>Table1[[#This Row],[Annual Emissions (MMTCO2)]]*40</f>
        <v>0.93891000381750012</v>
      </c>
      <c r="W432"/>
      <c r="X432">
        <f>82.5/4</f>
        <v>20.625</v>
      </c>
      <c r="Y432"/>
      <c r="Z432" s="1"/>
      <c r="AA432" s="1"/>
    </row>
    <row r="433" spans="1:27" ht="27" hidden="1" customHeight="1">
      <c r="A433" t="s">
        <v>298</v>
      </c>
      <c r="B433" t="s">
        <v>300</v>
      </c>
      <c r="C433" t="s">
        <v>126</v>
      </c>
      <c r="D433" s="6">
        <v>66440000</v>
      </c>
      <c r="E433" t="s">
        <v>584</v>
      </c>
      <c r="F433"/>
      <c r="G433"/>
      <c r="H433" t="s">
        <v>613</v>
      </c>
      <c r="I433" t="s">
        <v>682</v>
      </c>
      <c r="J433" s="28">
        <v>41859</v>
      </c>
      <c r="K433" t="s">
        <v>991</v>
      </c>
      <c r="L433" t="s">
        <v>67</v>
      </c>
      <c r="M433"/>
      <c r="N433"/>
      <c r="O433"/>
      <c r="P433"/>
      <c r="Q433" t="s">
        <v>634</v>
      </c>
      <c r="R433" t="s">
        <v>640</v>
      </c>
      <c r="S433" t="s">
        <v>646</v>
      </c>
      <c r="T433">
        <v>47</v>
      </c>
      <c r="U433" s="2">
        <f>Table1[[#This Row],[Coal Power Plant Size (MW) or Share]]*0.593*9057*211.9*10^(-9)</f>
        <v>5.3489418399300007E-2</v>
      </c>
      <c r="V433" s="2">
        <f>Table1[[#This Row],[Annual Emissions (MMTCO2)]]*40</f>
        <v>2.1395767359720002</v>
      </c>
      <c r="W433"/>
      <c r="X433">
        <v>47</v>
      </c>
      <c r="Y433"/>
      <c r="Z433" s="1"/>
      <c r="AA433" s="1"/>
    </row>
    <row r="434" spans="1:27" ht="27" hidden="1" customHeight="1">
      <c r="A434" t="s">
        <v>298</v>
      </c>
      <c r="B434" t="s">
        <v>300</v>
      </c>
      <c r="C434" t="s">
        <v>1465</v>
      </c>
      <c r="D434" s="6">
        <v>16670000.000000002</v>
      </c>
      <c r="E434" t="s">
        <v>574</v>
      </c>
      <c r="F434"/>
      <c r="G434"/>
      <c r="H434" t="s">
        <v>611</v>
      </c>
      <c r="I434" t="s">
        <v>680</v>
      </c>
      <c r="J434" s="28">
        <v>41904</v>
      </c>
      <c r="K434" t="s">
        <v>991</v>
      </c>
      <c r="L434" t="s">
        <v>67</v>
      </c>
      <c r="M434"/>
      <c r="N434"/>
      <c r="O434"/>
      <c r="P434"/>
      <c r="Q434" t="s">
        <v>634</v>
      </c>
      <c r="R434" t="s">
        <v>638</v>
      </c>
      <c r="S434" t="s">
        <v>646</v>
      </c>
      <c r="T434">
        <v>110</v>
      </c>
      <c r="U434" s="2">
        <f>Table1[[#This Row],[Coal Power Plant Size (MW) or Share]]*0.593*9057*211.9*10^(-9)</f>
        <v>0.12518800050899997</v>
      </c>
      <c r="V434" s="2">
        <f>Table1[[#This Row],[Annual Emissions (MMTCO2)]]*40</f>
        <v>5.0075200203599994</v>
      </c>
      <c r="W434"/>
      <c r="X434">
        <v>110</v>
      </c>
      <c r="Y434"/>
      <c r="Z434" s="1"/>
      <c r="AA434" s="1"/>
    </row>
    <row r="435" spans="1:27" ht="27" hidden="1" customHeight="1">
      <c r="A435" t="s">
        <v>298</v>
      </c>
      <c r="B435" t="s">
        <v>1750</v>
      </c>
      <c r="C435" t="s">
        <v>126</v>
      </c>
      <c r="D435" s="6">
        <v>77000000</v>
      </c>
      <c r="E435"/>
      <c r="F435"/>
      <c r="G435"/>
      <c r="H435" t="s">
        <v>1665</v>
      </c>
      <c r="I435" t="s">
        <v>1817</v>
      </c>
      <c r="J435" s="28">
        <v>42022</v>
      </c>
      <c r="K435" t="s">
        <v>993</v>
      </c>
      <c r="L435" t="s">
        <v>1478</v>
      </c>
      <c r="M435"/>
      <c r="N435"/>
      <c r="O435"/>
      <c r="P435"/>
      <c r="Q435" t="s">
        <v>634</v>
      </c>
      <c r="R435" t="s">
        <v>635</v>
      </c>
      <c r="S435" t="s">
        <v>703</v>
      </c>
      <c r="T435">
        <v>52.5</v>
      </c>
      <c r="U435" s="2">
        <f>Table1[[#This Row],[Coal Power Plant Size (MW) or Share]]*0.593*9057*211.9*10^(-9)</f>
        <v>5.9748818424750001E-2</v>
      </c>
      <c r="V435" s="2">
        <f>Table1[[#This Row],[Annual Emissions (MMTCO2)]]*40</f>
        <v>2.3899527369900002</v>
      </c>
      <c r="W435"/>
      <c r="X435">
        <v>52.5</v>
      </c>
      <c r="Y435"/>
      <c r="Z435" s="1"/>
      <c r="AA435" s="1"/>
    </row>
    <row r="436" spans="1:27" ht="27" hidden="1" customHeight="1">
      <c r="A436" t="s">
        <v>298</v>
      </c>
      <c r="B436" t="s">
        <v>1742</v>
      </c>
      <c r="C436" t="s">
        <v>126</v>
      </c>
      <c r="D436" s="6">
        <v>430000000</v>
      </c>
      <c r="E436"/>
      <c r="F436"/>
      <c r="G436"/>
      <c r="H436" t="s">
        <v>1541</v>
      </c>
      <c r="I436" t="s">
        <v>1756</v>
      </c>
      <c r="J436" s="28">
        <v>42338</v>
      </c>
      <c r="K436" t="s">
        <v>993</v>
      </c>
      <c r="L436" t="s">
        <v>213</v>
      </c>
      <c r="M436"/>
      <c r="N436"/>
      <c r="O436"/>
      <c r="P436"/>
      <c r="Q436" t="s">
        <v>634</v>
      </c>
      <c r="R436" t="s">
        <v>636</v>
      </c>
      <c r="S436" t="s">
        <v>703</v>
      </c>
      <c r="T436">
        <f>200/3</f>
        <v>66.666666666666671</v>
      </c>
      <c r="U436" s="2">
        <f>Table1[[#This Row],[Coal Power Plant Size (MW) or Share]]*0.593*9057*211.9*10^(-9)</f>
        <v>7.5871515459999997E-2</v>
      </c>
      <c r="V436" s="2">
        <f>Table1[[#This Row],[Annual Emissions (MMTCO2)]]*40</f>
        <v>3.0348606183999998</v>
      </c>
      <c r="W436"/>
      <c r="X436">
        <f>200/3</f>
        <v>66.666666666666671</v>
      </c>
      <c r="Y436"/>
      <c r="Z436" s="1"/>
      <c r="AA436" s="1"/>
    </row>
    <row r="437" spans="1:27" ht="27" hidden="1" customHeight="1">
      <c r="A437" t="s">
        <v>298</v>
      </c>
      <c r="B437" t="s">
        <v>1750</v>
      </c>
      <c r="C437" t="s">
        <v>126</v>
      </c>
      <c r="D437" s="6">
        <v>67850000</v>
      </c>
      <c r="E437"/>
      <c r="F437"/>
      <c r="G437"/>
      <c r="H437" t="s">
        <v>1698</v>
      </c>
      <c r="I437" t="s">
        <v>1900</v>
      </c>
      <c r="J437" s="28">
        <v>42352</v>
      </c>
      <c r="K437" t="s">
        <v>992</v>
      </c>
      <c r="L437" t="s">
        <v>1699</v>
      </c>
      <c r="M437"/>
      <c r="N437"/>
      <c r="O437"/>
      <c r="P437"/>
      <c r="Q437" t="s">
        <v>634</v>
      </c>
      <c r="R437" t="s">
        <v>638</v>
      </c>
      <c r="S437" t="s">
        <v>703</v>
      </c>
      <c r="T437">
        <f>90/2</f>
        <v>45</v>
      </c>
      <c r="U437" s="2">
        <f>Table1[[#This Row],[Coal Power Plant Size (MW) or Share]]*0.593*9057*211.9*10^(-9)</f>
        <v>5.1213272935500001E-2</v>
      </c>
      <c r="V437" s="2">
        <f>Table1[[#This Row],[Annual Emissions (MMTCO2)]]*40</f>
        <v>2.0485309174199999</v>
      </c>
      <c r="W437"/>
      <c r="X437">
        <f>90/2</f>
        <v>45</v>
      </c>
      <c r="Y437"/>
      <c r="Z437" s="1"/>
      <c r="AA437" s="1"/>
    </row>
    <row r="438" spans="1:27" ht="27" hidden="1" customHeight="1">
      <c r="A438" t="s">
        <v>298</v>
      </c>
      <c r="B438" t="s">
        <v>1752</v>
      </c>
      <c r="C438" t="s">
        <v>126</v>
      </c>
      <c r="D438" s="6">
        <v>28890000</v>
      </c>
      <c r="E438"/>
      <c r="F438"/>
      <c r="G438"/>
      <c r="H438" t="s">
        <v>1692</v>
      </c>
      <c r="I438" t="s">
        <v>1888</v>
      </c>
      <c r="J438" s="28">
        <v>42593</v>
      </c>
      <c r="K438" t="s">
        <v>992</v>
      </c>
      <c r="L438" t="s">
        <v>392</v>
      </c>
      <c r="M438" t="s">
        <v>1529</v>
      </c>
      <c r="N438"/>
      <c r="O438"/>
      <c r="P438"/>
      <c r="Q438" t="s">
        <v>634</v>
      </c>
      <c r="R438" t="s">
        <v>1538</v>
      </c>
      <c r="S438" t="s">
        <v>703</v>
      </c>
      <c r="T438">
        <f>299/12</f>
        <v>24.916666666666668</v>
      </c>
      <c r="U438" s="2">
        <f>Table1[[#This Row],[Coal Power Plant Size (MW) or Share]]*0.593*9057*211.9*10^(-9)</f>
        <v>2.8356978903175001E-2</v>
      </c>
      <c r="V438" s="2">
        <f>Table1[[#This Row],[Annual Emissions (MMTCO2)]]*40</f>
        <v>1.134279156127</v>
      </c>
      <c r="W438"/>
      <c r="X438">
        <f>299/12</f>
        <v>24.916666666666668</v>
      </c>
      <c r="Y438"/>
      <c r="Z438" s="1"/>
      <c r="AA438" s="1"/>
    </row>
    <row r="439" spans="1:27" ht="27" hidden="1" customHeight="1">
      <c r="A439" t="s">
        <v>298</v>
      </c>
      <c r="B439" t="s">
        <v>1752</v>
      </c>
      <c r="C439" t="s">
        <v>126</v>
      </c>
      <c r="D439" s="6">
        <v>2600000</v>
      </c>
      <c r="E439"/>
      <c r="F439"/>
      <c r="G439"/>
      <c r="H439" t="s">
        <v>1692</v>
      </c>
      <c r="I439" t="s">
        <v>1888</v>
      </c>
      <c r="J439" s="28">
        <v>42593</v>
      </c>
      <c r="K439" t="s">
        <v>992</v>
      </c>
      <c r="L439" t="s">
        <v>392</v>
      </c>
      <c r="M439" t="s">
        <v>1529</v>
      </c>
      <c r="N439"/>
      <c r="O439"/>
      <c r="P439"/>
      <c r="Q439" t="s">
        <v>634</v>
      </c>
      <c r="R439" t="s">
        <v>1538</v>
      </c>
      <c r="S439" t="s">
        <v>703</v>
      </c>
      <c r="T439">
        <f>299/12</f>
        <v>24.916666666666668</v>
      </c>
      <c r="U439" s="2">
        <f>Table1[[#This Row],[Coal Power Plant Size (MW) or Share]]*0.593*9057*211.9*10^(-9)</f>
        <v>2.8356978903175001E-2</v>
      </c>
      <c r="V439" s="2">
        <f>Table1[[#This Row],[Annual Emissions (MMTCO2)]]*40</f>
        <v>1.134279156127</v>
      </c>
      <c r="W439"/>
      <c r="X439">
        <f>299/12</f>
        <v>24.916666666666668</v>
      </c>
      <c r="Y439"/>
      <c r="Z439" s="1"/>
      <c r="AA439" s="1"/>
    </row>
    <row r="440" spans="1:27" ht="27" hidden="1" customHeight="1">
      <c r="A440" t="s">
        <v>298</v>
      </c>
      <c r="B440" t="s">
        <v>1752</v>
      </c>
      <c r="C440" t="s">
        <v>126</v>
      </c>
      <c r="D440" s="6">
        <v>8460000</v>
      </c>
      <c r="E440"/>
      <c r="F440"/>
      <c r="G440"/>
      <c r="H440" t="s">
        <v>1692</v>
      </c>
      <c r="I440" t="s">
        <v>1888</v>
      </c>
      <c r="J440" s="28">
        <v>42593</v>
      </c>
      <c r="K440" t="s">
        <v>992</v>
      </c>
      <c r="L440" t="s">
        <v>392</v>
      </c>
      <c r="M440" t="s">
        <v>1529</v>
      </c>
      <c r="N440"/>
      <c r="O440"/>
      <c r="P440"/>
      <c r="Q440" t="s">
        <v>634</v>
      </c>
      <c r="R440" t="s">
        <v>1538</v>
      </c>
      <c r="S440" t="s">
        <v>703</v>
      </c>
      <c r="T440">
        <f>299/12</f>
        <v>24.916666666666668</v>
      </c>
      <c r="U440" s="2">
        <f>Table1[[#This Row],[Coal Power Plant Size (MW) or Share]]*0.593*9057*211.9*10^(-9)</f>
        <v>2.8356978903175001E-2</v>
      </c>
      <c r="V440" s="2">
        <f>Table1[[#This Row],[Annual Emissions (MMTCO2)]]*40</f>
        <v>1.134279156127</v>
      </c>
      <c r="W440"/>
      <c r="X440">
        <f>299/12</f>
        <v>24.916666666666668</v>
      </c>
      <c r="Y440"/>
      <c r="Z440" s="1"/>
      <c r="AA440" s="1"/>
    </row>
    <row r="441" spans="1:27" ht="27" hidden="1" customHeight="1">
      <c r="A441" t="s">
        <v>298</v>
      </c>
      <c r="B441" t="s">
        <v>1752</v>
      </c>
      <c r="C441" t="s">
        <v>126</v>
      </c>
      <c r="D441" s="6">
        <v>3760000</v>
      </c>
      <c r="E441"/>
      <c r="F441"/>
      <c r="G441"/>
      <c r="H441" t="s">
        <v>1692</v>
      </c>
      <c r="I441" t="s">
        <v>1888</v>
      </c>
      <c r="J441" s="28">
        <v>42593</v>
      </c>
      <c r="K441" t="s">
        <v>992</v>
      </c>
      <c r="L441" t="s">
        <v>392</v>
      </c>
      <c r="M441" t="s">
        <v>1529</v>
      </c>
      <c r="N441"/>
      <c r="O441"/>
      <c r="P441"/>
      <c r="Q441" t="s">
        <v>634</v>
      </c>
      <c r="R441" t="s">
        <v>1538</v>
      </c>
      <c r="S441" t="s">
        <v>703</v>
      </c>
      <c r="T441">
        <f>299/12</f>
        <v>24.916666666666668</v>
      </c>
      <c r="U441" s="2">
        <f>Table1[[#This Row],[Coal Power Plant Size (MW) or Share]]*0.593*9057*211.9*10^(-9)</f>
        <v>2.8356978903175001E-2</v>
      </c>
      <c r="V441" s="2">
        <f>Table1[[#This Row],[Annual Emissions (MMTCO2)]]*40</f>
        <v>1.134279156127</v>
      </c>
      <c r="W441"/>
      <c r="X441">
        <f>299/12</f>
        <v>24.916666666666668</v>
      </c>
      <c r="Y441"/>
      <c r="Z441" s="1"/>
      <c r="AA441" s="1"/>
    </row>
    <row r="442" spans="1:27" ht="27" hidden="1" customHeight="1">
      <c r="A442" t="s">
        <v>298</v>
      </c>
      <c r="B442" t="s">
        <v>1752</v>
      </c>
      <c r="C442" t="s">
        <v>126</v>
      </c>
      <c r="D442" s="6">
        <v>13010000</v>
      </c>
      <c r="E442"/>
      <c r="F442"/>
      <c r="G442"/>
      <c r="H442" t="s">
        <v>1692</v>
      </c>
      <c r="I442" t="s">
        <v>1888</v>
      </c>
      <c r="J442" s="28">
        <v>42593</v>
      </c>
      <c r="K442" t="s">
        <v>992</v>
      </c>
      <c r="L442" t="s">
        <v>392</v>
      </c>
      <c r="M442" t="s">
        <v>1529</v>
      </c>
      <c r="N442"/>
      <c r="O442"/>
      <c r="P442"/>
      <c r="Q442" t="s">
        <v>634</v>
      </c>
      <c r="R442" t="s">
        <v>1538</v>
      </c>
      <c r="S442" t="s">
        <v>703</v>
      </c>
      <c r="T442">
        <f>299/12</f>
        <v>24.916666666666668</v>
      </c>
      <c r="U442" s="2">
        <f>Table1[[#This Row],[Coal Power Plant Size (MW) or Share]]*0.593*9057*211.9*10^(-9)</f>
        <v>2.8356978903175001E-2</v>
      </c>
      <c r="V442" s="2">
        <f>Table1[[#This Row],[Annual Emissions (MMTCO2)]]*40</f>
        <v>1.134279156127</v>
      </c>
      <c r="W442"/>
      <c r="X442">
        <f>299/12</f>
        <v>24.916666666666668</v>
      </c>
      <c r="Y442"/>
      <c r="Z442" s="1"/>
      <c r="AA442" s="1"/>
    </row>
    <row r="443" spans="1:27" ht="27" hidden="1" customHeight="1">
      <c r="A443" t="s">
        <v>298</v>
      </c>
      <c r="B443" t="s">
        <v>1752</v>
      </c>
      <c r="C443" t="s">
        <v>126</v>
      </c>
      <c r="D443" s="6">
        <v>15290000</v>
      </c>
      <c r="E443"/>
      <c r="F443"/>
      <c r="G443"/>
      <c r="H443" t="s">
        <v>1692</v>
      </c>
      <c r="I443" t="s">
        <v>1888</v>
      </c>
      <c r="J443" s="28">
        <v>42593</v>
      </c>
      <c r="K443" t="s">
        <v>992</v>
      </c>
      <c r="L443" t="s">
        <v>392</v>
      </c>
      <c r="M443" t="s">
        <v>1529</v>
      </c>
      <c r="N443"/>
      <c r="O443"/>
      <c r="P443"/>
      <c r="Q443" t="s">
        <v>634</v>
      </c>
      <c r="R443" t="s">
        <v>1538</v>
      </c>
      <c r="S443" t="s">
        <v>703</v>
      </c>
      <c r="T443">
        <f>299/12</f>
        <v>24.916666666666668</v>
      </c>
      <c r="U443" s="2">
        <f>Table1[[#This Row],[Coal Power Plant Size (MW) or Share]]*0.593*9057*211.9*10^(-9)</f>
        <v>2.8356978903175001E-2</v>
      </c>
      <c r="V443" s="2">
        <f>Table1[[#This Row],[Annual Emissions (MMTCO2)]]*40</f>
        <v>1.134279156127</v>
      </c>
      <c r="W443"/>
      <c r="X443">
        <f>299/12</f>
        <v>24.916666666666668</v>
      </c>
      <c r="Y443"/>
      <c r="Z443" s="1"/>
      <c r="AA443" s="1"/>
    </row>
    <row r="444" spans="1:27" ht="27" hidden="1" customHeight="1">
      <c r="A444" t="s">
        <v>298</v>
      </c>
      <c r="B444" t="s">
        <v>1742</v>
      </c>
      <c r="C444" t="s">
        <v>126</v>
      </c>
      <c r="D444" s="6">
        <v>65000000</v>
      </c>
      <c r="E444"/>
      <c r="F444"/>
      <c r="G444"/>
      <c r="H444" t="s">
        <v>1705</v>
      </c>
      <c r="I444" t="s">
        <v>1892</v>
      </c>
      <c r="J444" s="28">
        <v>42643</v>
      </c>
      <c r="K444" t="s">
        <v>1451</v>
      </c>
      <c r="L444" t="s">
        <v>36</v>
      </c>
      <c r="M444"/>
      <c r="N444"/>
      <c r="O444"/>
      <c r="P444"/>
      <c r="Q444" t="s">
        <v>634</v>
      </c>
      <c r="R444" t="s">
        <v>636</v>
      </c>
      <c r="S444" t="s">
        <v>703</v>
      </c>
      <c r="T444">
        <f>50/2</f>
        <v>25</v>
      </c>
      <c r="U444" s="2">
        <f>Table1[[#This Row],[Coal Power Plant Size (MW) or Share]]*0.593*9057*211.9*10^(-9)</f>
        <v>2.8451818297500001E-2</v>
      </c>
      <c r="V444" s="2">
        <f>Table1[[#This Row],[Annual Emissions (MMTCO2)]]*40</f>
        <v>1.1380727318999999</v>
      </c>
      <c r="W444"/>
      <c r="X444">
        <f>50/2</f>
        <v>25</v>
      </c>
      <c r="Y444"/>
      <c r="Z444" s="1"/>
      <c r="AA444" s="1"/>
    </row>
    <row r="445" spans="1:27" ht="27" hidden="1" customHeight="1">
      <c r="A445" t="s">
        <v>298</v>
      </c>
      <c r="B445" t="s">
        <v>300</v>
      </c>
      <c r="C445" t="s">
        <v>1465</v>
      </c>
      <c r="D445" s="6">
        <v>198000000</v>
      </c>
      <c r="E445" t="s">
        <v>1207</v>
      </c>
      <c r="F445"/>
      <c r="G445"/>
      <c r="H445" t="s">
        <v>1208</v>
      </c>
      <c r="I445" t="s">
        <v>1210</v>
      </c>
      <c r="J445" s="28">
        <v>42817</v>
      </c>
      <c r="K445" t="s">
        <v>991</v>
      </c>
      <c r="L445" t="s">
        <v>67</v>
      </c>
      <c r="M445" t="s">
        <v>1209</v>
      </c>
      <c r="N445" t="s">
        <v>1211</v>
      </c>
      <c r="O445" t="s">
        <v>1226</v>
      </c>
      <c r="P445"/>
      <c r="Q445" t="s">
        <v>634</v>
      </c>
      <c r="R445" t="s">
        <v>638</v>
      </c>
      <c r="S445" t="s">
        <v>646</v>
      </c>
      <c r="T445">
        <f>27/3</f>
        <v>9</v>
      </c>
      <c r="U445" s="2">
        <f>Table1[[#This Row],[Coal Power Plant Size (MW) or Share]]*0.593*9057*211.9*10^(-9)</f>
        <v>1.0242654587099999E-2</v>
      </c>
      <c r="V445" s="2">
        <f>Table1[[#This Row],[Annual Emissions (MMTCO2)]]*40</f>
        <v>0.40970618348399995</v>
      </c>
      <c r="W445"/>
      <c r="X445">
        <f>27/3</f>
        <v>9</v>
      </c>
      <c r="Y445"/>
      <c r="Z445" s="1"/>
      <c r="AA445" s="1"/>
    </row>
    <row r="446" spans="1:27" ht="27" hidden="1" customHeight="1">
      <c r="A446" t="s">
        <v>298</v>
      </c>
      <c r="B446" t="s">
        <v>299</v>
      </c>
      <c r="C446" t="s">
        <v>1465</v>
      </c>
      <c r="D446" s="6">
        <v>132000000</v>
      </c>
      <c r="E446" t="s">
        <v>1207</v>
      </c>
      <c r="F446"/>
      <c r="G446"/>
      <c r="H446" t="s">
        <v>1208</v>
      </c>
      <c r="I446" t="s">
        <v>1210</v>
      </c>
      <c r="J446" s="28">
        <v>42817</v>
      </c>
      <c r="K446" t="s">
        <v>991</v>
      </c>
      <c r="L446" t="s">
        <v>67</v>
      </c>
      <c r="M446" t="s">
        <v>1209</v>
      </c>
      <c r="N446" t="s">
        <v>1211</v>
      </c>
      <c r="O446" t="s">
        <v>1226</v>
      </c>
      <c r="P446"/>
      <c r="Q446" t="s">
        <v>634</v>
      </c>
      <c r="R446" t="s">
        <v>638</v>
      </c>
      <c r="S446" t="s">
        <v>646</v>
      </c>
      <c r="T446">
        <f>27/3</f>
        <v>9</v>
      </c>
      <c r="U446" s="2">
        <f>Table1[[#This Row],[Coal Power Plant Size (MW) or Share]]*0.593*9057*211.9*10^(-9)</f>
        <v>1.0242654587099999E-2</v>
      </c>
      <c r="V446" s="2">
        <f>Table1[[#This Row],[Annual Emissions (MMTCO2)]]*40</f>
        <v>0.40970618348399995</v>
      </c>
      <c r="W446"/>
      <c r="X446">
        <f>27/3</f>
        <v>9</v>
      </c>
      <c r="Y446"/>
      <c r="Z446" s="1"/>
      <c r="AA446" s="1"/>
    </row>
    <row r="447" spans="1:27" ht="27" hidden="1" customHeight="1">
      <c r="A447" t="s">
        <v>298</v>
      </c>
      <c r="B447" t="s">
        <v>300</v>
      </c>
      <c r="C447" t="s">
        <v>1465</v>
      </c>
      <c r="D447" s="6">
        <v>0</v>
      </c>
      <c r="E447" t="s">
        <v>574</v>
      </c>
      <c r="F447"/>
      <c r="G447"/>
      <c r="H447" t="s">
        <v>598</v>
      </c>
      <c r="I447" t="s">
        <v>661</v>
      </c>
      <c r="J447" s="28">
        <v>54789</v>
      </c>
      <c r="K447" t="s">
        <v>991</v>
      </c>
      <c r="L447" t="s">
        <v>67</v>
      </c>
      <c r="M447"/>
      <c r="N447"/>
      <c r="O447"/>
      <c r="P447"/>
      <c r="Q447" t="s">
        <v>634</v>
      </c>
      <c r="R447" t="s">
        <v>638</v>
      </c>
      <c r="S447" t="s">
        <v>476</v>
      </c>
      <c r="T447"/>
      <c r="U447" s="2">
        <f>Table1[[#This Row],[Coal Power Plant Size (MW) or Share]]*0.593*9057*211.9*10^(-9)</f>
        <v>0</v>
      </c>
      <c r="V447" s="2">
        <f>Table1[[#This Row],[Annual Emissions (MMTCO2)]]*40</f>
        <v>0</v>
      </c>
      <c r="W447"/>
      <c r="X447"/>
      <c r="Y447"/>
      <c r="Z447" s="1"/>
      <c r="AA447" s="1"/>
    </row>
    <row r="448" spans="1:27" ht="27" hidden="1" customHeight="1">
      <c r="A448" t="s">
        <v>298</v>
      </c>
      <c r="B448" t="s">
        <v>1742</v>
      </c>
      <c r="C448" t="s">
        <v>126</v>
      </c>
      <c r="D448" s="6">
        <v>553100000</v>
      </c>
      <c r="E448"/>
      <c r="F448"/>
      <c r="G448"/>
      <c r="H448" t="s">
        <v>1579</v>
      </c>
      <c r="I448" t="s">
        <v>1957</v>
      </c>
      <c r="J448" s="28">
        <v>54789</v>
      </c>
      <c r="K448" t="s">
        <v>990</v>
      </c>
      <c r="L448" t="s">
        <v>1580</v>
      </c>
      <c r="M448"/>
      <c r="N448"/>
      <c r="O448"/>
      <c r="P448"/>
      <c r="Q448" t="s">
        <v>634</v>
      </c>
      <c r="R448" t="s">
        <v>638</v>
      </c>
      <c r="S448" t="s">
        <v>476</v>
      </c>
      <c r="T448">
        <v>100</v>
      </c>
      <c r="U448" s="2">
        <f>Table1[[#This Row],[Coal Power Plant Size (MW) or Share]]*0.593*9057*211.9*10^(-9)</f>
        <v>0.11380727319</v>
      </c>
      <c r="V448" s="2">
        <f>Table1[[#This Row],[Annual Emissions (MMTCO2)]]*40</f>
        <v>4.5522909275999996</v>
      </c>
      <c r="W448"/>
      <c r="X448">
        <v>100</v>
      </c>
      <c r="Y448"/>
      <c r="Z448" s="1"/>
      <c r="AA448" s="1"/>
    </row>
    <row r="449" spans="1:27" ht="27" hidden="1" customHeight="1">
      <c r="A449" t="s">
        <v>298</v>
      </c>
      <c r="B449" t="s">
        <v>1742</v>
      </c>
      <c r="C449" t="s">
        <v>126</v>
      </c>
      <c r="D449" s="6">
        <v>195000000</v>
      </c>
      <c r="E449"/>
      <c r="F449"/>
      <c r="G449"/>
      <c r="H449" t="s">
        <v>1653</v>
      </c>
      <c r="I449" t="s">
        <v>1953</v>
      </c>
      <c r="J449" s="28">
        <v>54789</v>
      </c>
      <c r="K449" t="s">
        <v>989</v>
      </c>
      <c r="L449" t="s">
        <v>26</v>
      </c>
      <c r="M449" t="s">
        <v>1654</v>
      </c>
      <c r="N449"/>
      <c r="O449"/>
      <c r="P449"/>
      <c r="Q449" t="s">
        <v>634</v>
      </c>
      <c r="R449" t="s">
        <v>637</v>
      </c>
      <c r="S449" t="s">
        <v>476</v>
      </c>
      <c r="T449"/>
      <c r="U449" s="2">
        <f>Table1[[#This Row],[Coal Power Plant Size (MW) or Share]]*0.593*9057*211.9*10^(-9)</f>
        <v>0</v>
      </c>
      <c r="V449" s="2">
        <f>Table1[[#This Row],[Annual Emissions (MMTCO2)]]*40</f>
        <v>0</v>
      </c>
      <c r="W449"/>
      <c r="X449"/>
      <c r="Y449"/>
      <c r="Z449" s="1"/>
      <c r="AA449" s="1"/>
    </row>
    <row r="450" spans="1:27" ht="27" hidden="1" customHeight="1">
      <c r="A450" t="s">
        <v>298</v>
      </c>
      <c r="B450" t="s">
        <v>301</v>
      </c>
      <c r="C450" t="s">
        <v>126</v>
      </c>
      <c r="D450" s="6">
        <v>406680400</v>
      </c>
      <c r="E450" t="s">
        <v>331</v>
      </c>
      <c r="F450"/>
      <c r="G450"/>
      <c r="H450" t="s">
        <v>332</v>
      </c>
      <c r="I450" t="s">
        <v>333</v>
      </c>
      <c r="J450" s="28">
        <v>41806</v>
      </c>
      <c r="K450" t="s">
        <v>989</v>
      </c>
      <c r="L450" t="s">
        <v>97</v>
      </c>
      <c r="M450"/>
      <c r="N450"/>
      <c r="O450"/>
      <c r="P450"/>
      <c r="Q450" t="s">
        <v>65</v>
      </c>
      <c r="R450" t="s">
        <v>66</v>
      </c>
      <c r="S450" t="s">
        <v>703</v>
      </c>
      <c r="T450">
        <v>1200</v>
      </c>
      <c r="U450" s="2">
        <f>Table1[[#This Row],[Coal Power Plant Size (MW) or Share]]*0.593*9057*211.9*10^(-9)</f>
        <v>1.36568727828</v>
      </c>
      <c r="V450" s="2">
        <f>Table1[[#This Row],[Annual Emissions (MMTCO2)]]*40</f>
        <v>54.627491131200003</v>
      </c>
      <c r="W450"/>
      <c r="X450"/>
      <c r="Y450"/>
      <c r="Z450" s="1"/>
      <c r="AA450" s="1"/>
    </row>
    <row r="451" spans="1:27" ht="27" hidden="1" customHeight="1">
      <c r="A451" t="s">
        <v>298</v>
      </c>
      <c r="B451" t="s">
        <v>301</v>
      </c>
      <c r="C451" t="s">
        <v>126</v>
      </c>
      <c r="D451" s="6">
        <v>429731482</v>
      </c>
      <c r="E451" t="s">
        <v>331</v>
      </c>
      <c r="F451"/>
      <c r="G451"/>
      <c r="H451" t="s">
        <v>359</v>
      </c>
      <c r="I451" t="s">
        <v>360</v>
      </c>
      <c r="J451" s="28">
        <v>42351</v>
      </c>
      <c r="K451" t="s">
        <v>989</v>
      </c>
      <c r="L451" t="s">
        <v>97</v>
      </c>
      <c r="M451"/>
      <c r="N451" t="s">
        <v>361</v>
      </c>
      <c r="O451" t="s">
        <v>362</v>
      </c>
      <c r="P451"/>
      <c r="Q451" t="s">
        <v>65</v>
      </c>
      <c r="R451" t="s">
        <v>65</v>
      </c>
      <c r="S451" t="s">
        <v>703</v>
      </c>
      <c r="T451"/>
      <c r="U451" s="2">
        <f>Table1[[#This Row],[Coal Power Plant Size (MW) or Share]]*0.593*9057*211.9*10^(-9)</f>
        <v>0</v>
      </c>
      <c r="V451" s="2">
        <f>Table1[[#This Row],[Annual Emissions (MMTCO2)]]*40</f>
        <v>0</v>
      </c>
      <c r="W451"/>
      <c r="X451"/>
      <c r="Y451"/>
      <c r="Z451" s="1"/>
      <c r="AA451" s="1"/>
    </row>
    <row r="452" spans="1:27" ht="27" hidden="1" customHeight="1">
      <c r="A452" t="s">
        <v>530</v>
      </c>
      <c r="B452" t="s">
        <v>570</v>
      </c>
      <c r="C452" t="s">
        <v>126</v>
      </c>
      <c r="D452" s="6">
        <v>24400000</v>
      </c>
      <c r="E452" t="s">
        <v>699</v>
      </c>
      <c r="F452"/>
      <c r="G452"/>
      <c r="H452" t="s">
        <v>624</v>
      </c>
      <c r="I452" t="s">
        <v>696</v>
      </c>
      <c r="J452" s="28">
        <v>41408</v>
      </c>
      <c r="K452" t="s">
        <v>991</v>
      </c>
      <c r="L452" t="s">
        <v>67</v>
      </c>
      <c r="M452"/>
      <c r="N452"/>
      <c r="O452"/>
      <c r="P452"/>
      <c r="Q452" t="s">
        <v>634</v>
      </c>
      <c r="R452" t="s">
        <v>640</v>
      </c>
      <c r="S452" t="s">
        <v>646</v>
      </c>
      <c r="T452">
        <v>10</v>
      </c>
      <c r="U452" s="2">
        <f>Table1[[#This Row],[Coal Power Plant Size (MW) or Share]]*0.593*9057*211.9*10^(-9)</f>
        <v>1.1380727318999998E-2</v>
      </c>
      <c r="V452" s="2">
        <f>Table1[[#This Row],[Annual Emissions (MMTCO2)]]*40</f>
        <v>0.45522909275999995</v>
      </c>
      <c r="W452"/>
      <c r="X452">
        <v>10</v>
      </c>
      <c r="Y452"/>
      <c r="Z452" s="1"/>
      <c r="AA452" s="1"/>
    </row>
    <row r="453" spans="1:27" ht="27" hidden="1" customHeight="1">
      <c r="A453" t="s">
        <v>288</v>
      </c>
      <c r="B453" t="s">
        <v>92</v>
      </c>
      <c r="C453" t="s">
        <v>14</v>
      </c>
      <c r="D453" s="6">
        <v>303377.93570895126</v>
      </c>
      <c r="E453" t="s">
        <v>102</v>
      </c>
      <c r="F453"/>
      <c r="G453"/>
      <c r="H453" t="s">
        <v>103</v>
      </c>
      <c r="I453" t="s">
        <v>84</v>
      </c>
      <c r="J453" s="28">
        <v>42278</v>
      </c>
      <c r="K453" t="s">
        <v>992</v>
      </c>
      <c r="L453" t="s">
        <v>104</v>
      </c>
      <c r="M453"/>
      <c r="N453" t="s">
        <v>105</v>
      </c>
      <c r="O453" t="s">
        <v>106</v>
      </c>
      <c r="P453"/>
      <c r="Q453" t="s">
        <v>54</v>
      </c>
      <c r="R453" t="s">
        <v>55</v>
      </c>
      <c r="S453" t="s">
        <v>703</v>
      </c>
      <c r="T453"/>
      <c r="U453" s="2">
        <f>Table1[[#This Row],[Coal Power Plant Size (MW) or Share]]*0.593*9057*211.9*10^(-9)</f>
        <v>0</v>
      </c>
      <c r="V453" s="2">
        <f>Table1[[#This Row],[Annual Emissions (MMTCO2)]]*40</f>
        <v>0</v>
      </c>
      <c r="W453"/>
      <c r="X453"/>
      <c r="Y453"/>
      <c r="Z453" s="1"/>
      <c r="AA453" s="1"/>
    </row>
    <row r="454" spans="1:27" ht="27" hidden="1" customHeight="1">
      <c r="A454" t="s">
        <v>288</v>
      </c>
      <c r="B454" t="s">
        <v>1475</v>
      </c>
      <c r="C454" t="s">
        <v>126</v>
      </c>
      <c r="D454" s="6">
        <v>50000000</v>
      </c>
      <c r="E454"/>
      <c r="F454"/>
      <c r="G454"/>
      <c r="H454" t="s">
        <v>1504</v>
      </c>
      <c r="I454" t="s">
        <v>1783</v>
      </c>
      <c r="J454" s="28">
        <v>41402</v>
      </c>
      <c r="K454" t="s">
        <v>990</v>
      </c>
      <c r="L454" t="s">
        <v>288</v>
      </c>
      <c r="M454"/>
      <c r="N454"/>
      <c r="O454"/>
      <c r="P454"/>
      <c r="Q454" t="s">
        <v>634</v>
      </c>
      <c r="R454" t="s">
        <v>635</v>
      </c>
      <c r="S454" t="s">
        <v>703</v>
      </c>
      <c r="T454">
        <v>36.799999999999997</v>
      </c>
      <c r="U454" s="2">
        <f>Table1[[#This Row],[Coal Power Plant Size (MW) or Share]]*0.593*9057*211.9*10^(-9)</f>
        <v>4.1881076533920002E-2</v>
      </c>
      <c r="V454" s="2">
        <f>Table1[[#This Row],[Annual Emissions (MMTCO2)]]*40</f>
        <v>1.6752430613568001</v>
      </c>
      <c r="W454"/>
      <c r="X454">
        <v>36.799999999999997</v>
      </c>
      <c r="Y454"/>
      <c r="Z454" s="1"/>
      <c r="AA454" s="1"/>
    </row>
    <row r="455" spans="1:27" ht="27" hidden="1" customHeight="1">
      <c r="A455" t="s">
        <v>288</v>
      </c>
      <c r="B455" t="s">
        <v>1722</v>
      </c>
      <c r="C455" t="s">
        <v>126</v>
      </c>
      <c r="D455" s="6">
        <v>45500000</v>
      </c>
      <c r="E455"/>
      <c r="F455"/>
      <c r="G455"/>
      <c r="H455" t="s">
        <v>1502</v>
      </c>
      <c r="I455" t="s">
        <v>1862</v>
      </c>
      <c r="J455" s="28">
        <v>42089</v>
      </c>
      <c r="K455" t="s">
        <v>990</v>
      </c>
      <c r="L455" t="s">
        <v>1503</v>
      </c>
      <c r="M455"/>
      <c r="N455"/>
      <c r="O455"/>
      <c r="P455"/>
      <c r="Q455" t="s">
        <v>634</v>
      </c>
      <c r="R455" t="s">
        <v>635</v>
      </c>
      <c r="S455" t="s">
        <v>703</v>
      </c>
      <c r="T455">
        <f>61/3</f>
        <v>20.333333333333332</v>
      </c>
      <c r="U455" s="2">
        <f>Table1[[#This Row],[Coal Power Plant Size (MW) or Share]]*0.593*9057*211.9*10^(-9)</f>
        <v>2.3140812215300004E-2</v>
      </c>
      <c r="V455" s="2">
        <f>Table1[[#This Row],[Annual Emissions (MMTCO2)]]*40</f>
        <v>0.9256324886120002</v>
      </c>
      <c r="W455"/>
      <c r="X455">
        <f>61/3</f>
        <v>20.333333333333332</v>
      </c>
      <c r="Y455"/>
      <c r="Z455" s="1"/>
      <c r="AA455" s="1"/>
    </row>
    <row r="456" spans="1:27" ht="27" hidden="1" customHeight="1">
      <c r="A456" t="s">
        <v>288</v>
      </c>
      <c r="B456" t="s">
        <v>1722</v>
      </c>
      <c r="C456" t="s">
        <v>126</v>
      </c>
      <c r="D456" s="6">
        <v>44400000</v>
      </c>
      <c r="E456"/>
      <c r="F456"/>
      <c r="G456"/>
      <c r="H456" t="s">
        <v>1476</v>
      </c>
      <c r="I456" t="s">
        <v>1798</v>
      </c>
      <c r="J456" s="28">
        <v>42340</v>
      </c>
      <c r="K456" t="s">
        <v>990</v>
      </c>
      <c r="L456" t="s">
        <v>288</v>
      </c>
      <c r="M456"/>
      <c r="N456"/>
      <c r="O456"/>
      <c r="P456"/>
      <c r="Q456" t="s">
        <v>634</v>
      </c>
      <c r="R456" t="s">
        <v>636</v>
      </c>
      <c r="S456" t="s">
        <v>703</v>
      </c>
      <c r="T456">
        <f>130/2</f>
        <v>65</v>
      </c>
      <c r="U456" s="2">
        <f>Table1[[#This Row],[Coal Power Plant Size (MW) or Share]]*0.593*9057*211.9*10^(-9)</f>
        <v>7.3974727573500015E-2</v>
      </c>
      <c r="V456" s="2">
        <f>Table1[[#This Row],[Annual Emissions (MMTCO2)]]*40</f>
        <v>2.9589891029400004</v>
      </c>
      <c r="W456"/>
      <c r="X456">
        <f>130/2</f>
        <v>65</v>
      </c>
      <c r="Y456"/>
      <c r="Z456" s="1"/>
      <c r="AA456" s="1"/>
    </row>
    <row r="457" spans="1:27" ht="27" hidden="1" customHeight="1">
      <c r="A457" t="s">
        <v>288</v>
      </c>
      <c r="B457" t="s">
        <v>1475</v>
      </c>
      <c r="C457" t="s">
        <v>126</v>
      </c>
      <c r="D457" s="6">
        <v>56250000</v>
      </c>
      <c r="E457"/>
      <c r="F457"/>
      <c r="G457"/>
      <c r="H457" t="s">
        <v>1476</v>
      </c>
      <c r="I457" t="s">
        <v>1798</v>
      </c>
      <c r="J457" s="28">
        <v>42340</v>
      </c>
      <c r="K457" t="s">
        <v>990</v>
      </c>
      <c r="L457" t="s">
        <v>288</v>
      </c>
      <c r="M457"/>
      <c r="N457"/>
      <c r="O457"/>
      <c r="P457"/>
      <c r="Q457" t="s">
        <v>634</v>
      </c>
      <c r="R457" t="s">
        <v>636</v>
      </c>
      <c r="S457" t="s">
        <v>703</v>
      </c>
      <c r="T457">
        <f>130/2</f>
        <v>65</v>
      </c>
      <c r="U457" s="2">
        <f>Table1[[#This Row],[Coal Power Plant Size (MW) or Share]]*0.593*9057*211.9*10^(-9)</f>
        <v>7.3974727573500015E-2</v>
      </c>
      <c r="V457" s="2">
        <f>Table1[[#This Row],[Annual Emissions (MMTCO2)]]*40</f>
        <v>2.9589891029400004</v>
      </c>
      <c r="W457"/>
      <c r="X457">
        <f>130/2</f>
        <v>65</v>
      </c>
      <c r="Y457"/>
      <c r="Z457" s="1"/>
      <c r="AA457" s="1"/>
    </row>
    <row r="458" spans="1:27" ht="27" hidden="1" customHeight="1">
      <c r="A458" t="s">
        <v>14</v>
      </c>
      <c r="B458" t="s">
        <v>21</v>
      </c>
      <c r="C458" t="s">
        <v>14</v>
      </c>
      <c r="D458" s="6">
        <v>4200000</v>
      </c>
      <c r="E458" t="s">
        <v>59</v>
      </c>
      <c r="F458"/>
      <c r="G458"/>
      <c r="H458" t="s">
        <v>60</v>
      </c>
      <c r="I458" t="s">
        <v>61</v>
      </c>
      <c r="J458" s="28">
        <v>41404</v>
      </c>
      <c r="K458" t="s">
        <v>992</v>
      </c>
      <c r="L458" t="s">
        <v>62</v>
      </c>
      <c r="M458"/>
      <c r="N458" t="s">
        <v>64</v>
      </c>
      <c r="O458"/>
      <c r="P458"/>
      <c r="Q458" t="s">
        <v>37</v>
      </c>
      <c r="R458" t="s">
        <v>63</v>
      </c>
      <c r="S458" t="s">
        <v>703</v>
      </c>
      <c r="T458"/>
      <c r="U458" s="2">
        <f>Table1[[#This Row],[Coal Power Plant Size (MW) or Share]]*0.593*9057*211.9*10^(-9)</f>
        <v>0</v>
      </c>
      <c r="V458" s="2">
        <f>Table1[[#This Row],[Annual Emissions (MMTCO2)]]*40</f>
        <v>0</v>
      </c>
      <c r="W458"/>
      <c r="X458"/>
      <c r="Y458"/>
      <c r="Z458" s="1"/>
      <c r="AA458" s="1"/>
    </row>
    <row r="459" spans="1:27" ht="27" hidden="1" customHeight="1">
      <c r="A459" t="s">
        <v>14</v>
      </c>
      <c r="B459" t="s">
        <v>87</v>
      </c>
      <c r="C459" t="s">
        <v>14</v>
      </c>
      <c r="D459" s="6">
        <v>350000</v>
      </c>
      <c r="E459" t="s">
        <v>88</v>
      </c>
      <c r="F459"/>
      <c r="G459"/>
      <c r="H459" t="s">
        <v>89</v>
      </c>
      <c r="I459"/>
      <c r="J459" s="28">
        <v>41977</v>
      </c>
      <c r="K459" t="s">
        <v>1451</v>
      </c>
      <c r="L459" t="s">
        <v>36</v>
      </c>
      <c r="M459"/>
      <c r="N459" t="s">
        <v>90</v>
      </c>
      <c r="O459" t="s">
        <v>91</v>
      </c>
      <c r="P459"/>
      <c r="Q459" t="s">
        <v>37</v>
      </c>
      <c r="R459" t="s">
        <v>37</v>
      </c>
      <c r="S459" t="s">
        <v>703</v>
      </c>
      <c r="T459"/>
      <c r="U459" s="2">
        <f>Table1[[#This Row],[Coal Power Plant Size (MW) or Share]]*0.593*9057*211.9*10^(-9)</f>
        <v>0</v>
      </c>
      <c r="V459" s="2">
        <f>Table1[[#This Row],[Annual Emissions (MMTCO2)]]*40</f>
        <v>0</v>
      </c>
      <c r="W459"/>
      <c r="X459"/>
      <c r="Y459"/>
      <c r="Z459" s="1"/>
      <c r="AA459" s="1"/>
    </row>
    <row r="460" spans="1:27" ht="27" hidden="1" customHeight="1">
      <c r="A460" t="s">
        <v>14</v>
      </c>
      <c r="B460" t="s">
        <v>87</v>
      </c>
      <c r="C460" t="s">
        <v>14</v>
      </c>
      <c r="D460" s="6">
        <v>900525000</v>
      </c>
      <c r="E460" t="s">
        <v>79</v>
      </c>
      <c r="F460"/>
      <c r="G460"/>
      <c r="H460" t="s">
        <v>94</v>
      </c>
      <c r="I460"/>
      <c r="J460" s="28">
        <v>41617</v>
      </c>
      <c r="K460" t="s">
        <v>989</v>
      </c>
      <c r="L460" t="s">
        <v>78</v>
      </c>
      <c r="M460"/>
      <c r="N460" t="s">
        <v>95</v>
      </c>
      <c r="O460" t="s">
        <v>96</v>
      </c>
      <c r="P460"/>
      <c r="Q460" t="s">
        <v>17</v>
      </c>
      <c r="R460" t="s">
        <v>18</v>
      </c>
      <c r="S460" t="s">
        <v>703</v>
      </c>
      <c r="T460">
        <f>600</f>
        <v>600</v>
      </c>
      <c r="U460" s="2">
        <f>Table1[[#This Row],[Coal Power Plant Size (MW) or Share]]*0.593*9057*211.9*10^(-9)</f>
        <v>0.68284363914000001</v>
      </c>
      <c r="V460" s="2">
        <f>Table1[[#This Row],[Annual Emissions (MMTCO2)]]*40</f>
        <v>27.313745565600001</v>
      </c>
      <c r="W460"/>
      <c r="X460"/>
      <c r="Y460"/>
      <c r="Z460" s="1"/>
      <c r="AA460" s="1"/>
    </row>
    <row r="461" spans="1:27" ht="27" hidden="1" customHeight="1">
      <c r="A461" t="s">
        <v>14</v>
      </c>
      <c r="B461" t="s">
        <v>21</v>
      </c>
      <c r="C461" t="s">
        <v>14</v>
      </c>
      <c r="D461" s="6">
        <v>7500000</v>
      </c>
      <c r="E461" t="s">
        <v>32</v>
      </c>
      <c r="F461"/>
      <c r="G461"/>
      <c r="H461" t="s">
        <v>39</v>
      </c>
      <c r="I461" t="s">
        <v>40</v>
      </c>
      <c r="J461" s="28">
        <v>41627</v>
      </c>
      <c r="K461" t="s">
        <v>1482</v>
      </c>
      <c r="L461" t="s">
        <v>33</v>
      </c>
      <c r="M461"/>
      <c r="N461" t="s">
        <v>41</v>
      </c>
      <c r="O461"/>
      <c r="P461"/>
      <c r="Q461" t="s">
        <v>17</v>
      </c>
      <c r="R461" t="s">
        <v>18</v>
      </c>
      <c r="S461" t="s">
        <v>703</v>
      </c>
      <c r="T461">
        <f>125</f>
        <v>125</v>
      </c>
      <c r="U461" s="2">
        <f>Table1[[#This Row],[Coal Power Plant Size (MW) or Share]]*0.593*9057*211.9*10^(-9)</f>
        <v>0.14225909148750002</v>
      </c>
      <c r="V461" s="2">
        <f>Table1[[#This Row],[Annual Emissions (MMTCO2)]]*40</f>
        <v>5.6903636595000009</v>
      </c>
      <c r="W461"/>
      <c r="X461"/>
      <c r="Y461" t="s">
        <v>34</v>
      </c>
      <c r="Z461" s="1"/>
      <c r="AA461" s="1"/>
    </row>
    <row r="462" spans="1:27" ht="27" hidden="1" customHeight="1">
      <c r="A462" t="s">
        <v>14</v>
      </c>
      <c r="B462" t="s">
        <v>561</v>
      </c>
      <c r="C462" t="s">
        <v>14</v>
      </c>
      <c r="D462" s="6">
        <v>146970000</v>
      </c>
      <c r="E462" t="s">
        <v>42</v>
      </c>
      <c r="F462"/>
      <c r="G462"/>
      <c r="H462" t="s">
        <v>43</v>
      </c>
      <c r="I462" t="s">
        <v>44</v>
      </c>
      <c r="J462" s="28">
        <v>41701</v>
      </c>
      <c r="K462" t="s">
        <v>1452</v>
      </c>
      <c r="L462" t="s">
        <v>45</v>
      </c>
      <c r="M462"/>
      <c r="N462" t="s">
        <v>46</v>
      </c>
      <c r="O462"/>
      <c r="P462"/>
      <c r="Q462" t="s">
        <v>17</v>
      </c>
      <c r="R462" t="s">
        <v>18</v>
      </c>
      <c r="S462" t="s">
        <v>703</v>
      </c>
      <c r="T462"/>
      <c r="U462" s="2">
        <f>Table1[[#This Row],[Coal Power Plant Size (MW) or Share]]*0.593*9057*211.9*10^(-9)</f>
        <v>0</v>
      </c>
      <c r="V462" s="2">
        <f>Table1[[#This Row],[Annual Emissions (MMTCO2)]]*40</f>
        <v>0</v>
      </c>
      <c r="W462"/>
      <c r="X462"/>
      <c r="Y462"/>
      <c r="Z462" s="1"/>
      <c r="AA462" s="1"/>
    </row>
    <row r="463" spans="1:27" ht="27" hidden="1" customHeight="1">
      <c r="A463" t="s">
        <v>14</v>
      </c>
      <c r="B463" t="s">
        <v>561</v>
      </c>
      <c r="C463" t="s">
        <v>14</v>
      </c>
      <c r="D463" s="6">
        <v>33330000</v>
      </c>
      <c r="E463" t="s">
        <v>15</v>
      </c>
      <c r="F463"/>
      <c r="G463"/>
      <c r="H463" t="s">
        <v>15</v>
      </c>
      <c r="I463" t="s">
        <v>16</v>
      </c>
      <c r="J463" s="28">
        <v>41760</v>
      </c>
      <c r="K463" t="s">
        <v>993</v>
      </c>
      <c r="L463" t="s">
        <v>2028</v>
      </c>
      <c r="M463"/>
      <c r="N463" t="s">
        <v>19</v>
      </c>
      <c r="O463"/>
      <c r="P463"/>
      <c r="Q463" t="s">
        <v>17</v>
      </c>
      <c r="R463" t="s">
        <v>18</v>
      </c>
      <c r="S463" t="s">
        <v>703</v>
      </c>
      <c r="T463">
        <f>(270+450)</f>
        <v>720</v>
      </c>
      <c r="U463" s="2">
        <f>Table1[[#This Row],[Coal Power Plant Size (MW) or Share]]*0.593*9057*211.9*10^(-9)</f>
        <v>0.81941236696800002</v>
      </c>
      <c r="V463" s="2">
        <f>Table1[[#This Row],[Annual Emissions (MMTCO2)]]*40</f>
        <v>32.776494678719999</v>
      </c>
      <c r="W463"/>
      <c r="X463"/>
      <c r="Y463"/>
      <c r="Z463" s="1"/>
      <c r="AA463" s="1"/>
    </row>
    <row r="464" spans="1:27" ht="27" hidden="1" customHeight="1">
      <c r="A464" t="s">
        <v>14</v>
      </c>
      <c r="B464" t="s">
        <v>87</v>
      </c>
      <c r="C464" t="s">
        <v>14</v>
      </c>
      <c r="D464" s="6">
        <v>900000000</v>
      </c>
      <c r="E464" t="s">
        <v>79</v>
      </c>
      <c r="F464"/>
      <c r="G464"/>
      <c r="H464" t="s">
        <v>1212</v>
      </c>
      <c r="I464" t="s">
        <v>1213</v>
      </c>
      <c r="J464" s="28">
        <v>54789</v>
      </c>
      <c r="K464" t="s">
        <v>989</v>
      </c>
      <c r="L464" t="s">
        <v>78</v>
      </c>
      <c r="M464" t="s">
        <v>1214</v>
      </c>
      <c r="N464" t="s">
        <v>1215</v>
      </c>
      <c r="O464"/>
      <c r="P464"/>
      <c r="Q464" t="s">
        <v>17</v>
      </c>
      <c r="R464" t="s">
        <v>18</v>
      </c>
      <c r="S464" t="s">
        <v>476</v>
      </c>
      <c r="T464">
        <f>1200/2</f>
        <v>600</v>
      </c>
      <c r="U464" s="2">
        <f>Table1[[#This Row],[Coal Power Plant Size (MW) or Share]]*0.593*9057*211.9*10^(-9)</f>
        <v>0.68284363914000001</v>
      </c>
      <c r="V464" s="2">
        <f>Table1[[#This Row],[Annual Emissions (MMTCO2)]]*40</f>
        <v>27.313745565600001</v>
      </c>
      <c r="W464"/>
      <c r="X464"/>
      <c r="Y464"/>
      <c r="Z464" s="1"/>
      <c r="AA464" s="1"/>
    </row>
    <row r="465" spans="1:27" ht="27" hidden="1" customHeight="1">
      <c r="A465" t="s">
        <v>14</v>
      </c>
      <c r="B465" t="s">
        <v>562</v>
      </c>
      <c r="C465" t="s">
        <v>14</v>
      </c>
      <c r="D465" s="6">
        <v>220000000</v>
      </c>
      <c r="E465" t="s">
        <v>79</v>
      </c>
      <c r="F465"/>
      <c r="G465"/>
      <c r="H465" t="s">
        <v>1212</v>
      </c>
      <c r="I465" t="s">
        <v>1213</v>
      </c>
      <c r="J465" s="28">
        <v>54789</v>
      </c>
      <c r="K465" t="s">
        <v>989</v>
      </c>
      <c r="L465" t="s">
        <v>78</v>
      </c>
      <c r="M465" t="s">
        <v>1214</v>
      </c>
      <c r="N465" t="s">
        <v>1215</v>
      </c>
      <c r="O465"/>
      <c r="P465"/>
      <c r="Q465" t="s">
        <v>17</v>
      </c>
      <c r="R465" t="s">
        <v>18</v>
      </c>
      <c r="S465" t="s">
        <v>476</v>
      </c>
      <c r="T465">
        <f>1200/2</f>
        <v>600</v>
      </c>
      <c r="U465" s="2">
        <f>Table1[[#This Row],[Coal Power Plant Size (MW) or Share]]*0.593*9057*211.9*10^(-9)</f>
        <v>0.68284363914000001</v>
      </c>
      <c r="V465" s="2">
        <f>Table1[[#This Row],[Annual Emissions (MMTCO2)]]*40</f>
        <v>27.313745565600001</v>
      </c>
      <c r="W465"/>
      <c r="X465"/>
      <c r="Y465"/>
      <c r="Z465" s="1"/>
      <c r="AA465" s="1"/>
    </row>
    <row r="466" spans="1:27" ht="27" hidden="1" customHeight="1">
      <c r="A466" t="s">
        <v>14</v>
      </c>
      <c r="B466" t="s">
        <v>1019</v>
      </c>
      <c r="C466" t="s">
        <v>14</v>
      </c>
      <c r="D466" s="6"/>
      <c r="E466"/>
      <c r="F466"/>
      <c r="G466"/>
      <c r="H466" t="s">
        <v>1022</v>
      </c>
      <c r="I466" t="s">
        <v>1020</v>
      </c>
      <c r="J466" s="28">
        <v>54789</v>
      </c>
      <c r="K466" t="s">
        <v>992</v>
      </c>
      <c r="L466" t="s">
        <v>62</v>
      </c>
      <c r="M466"/>
      <c r="N466"/>
      <c r="O466"/>
      <c r="P466"/>
      <c r="Q466" t="s">
        <v>17</v>
      </c>
      <c r="R466"/>
      <c r="S466" t="s">
        <v>476</v>
      </c>
      <c r="T466"/>
      <c r="U466" s="2">
        <f>Table1[[#This Row],[Coal Power Plant Size (MW) or Share]]*0.593*9057*211.9*10^(-9)</f>
        <v>0</v>
      </c>
      <c r="V466" s="2">
        <f>Table1[[#This Row],[Annual Emissions (MMTCO2)]]*40</f>
        <v>0</v>
      </c>
      <c r="W466"/>
      <c r="X466"/>
      <c r="Y466"/>
      <c r="Z466" s="1"/>
      <c r="AA466" s="1"/>
    </row>
    <row r="467" spans="1:27" ht="27" hidden="1" customHeight="1">
      <c r="A467" t="s">
        <v>14</v>
      </c>
      <c r="B467" t="s">
        <v>87</v>
      </c>
      <c r="C467" t="s">
        <v>14</v>
      </c>
      <c r="D467" s="6">
        <v>0</v>
      </c>
      <c r="E467" t="s">
        <v>531</v>
      </c>
      <c r="F467"/>
      <c r="G467"/>
      <c r="H467" t="s">
        <v>532</v>
      </c>
      <c r="I467" t="s">
        <v>533</v>
      </c>
      <c r="J467" s="28">
        <v>54789</v>
      </c>
      <c r="K467" t="s">
        <v>1451</v>
      </c>
      <c r="L467" t="s">
        <v>36</v>
      </c>
      <c r="M467"/>
      <c r="N467" t="s">
        <v>534</v>
      </c>
      <c r="O467" t="s">
        <v>535</v>
      </c>
      <c r="P467"/>
      <c r="Q467" t="s">
        <v>17</v>
      </c>
      <c r="R467" t="s">
        <v>18</v>
      </c>
      <c r="S467" t="s">
        <v>476</v>
      </c>
      <c r="T467">
        <f>463.5/4</f>
        <v>115.875</v>
      </c>
      <c r="U467" s="2">
        <f>Table1[[#This Row],[Coal Power Plant Size (MW) or Share]]*0.593*9057*211.9*10^(-9)</f>
        <v>0.1318741778089125</v>
      </c>
      <c r="V467" s="2">
        <f>Table1[[#This Row],[Annual Emissions (MMTCO2)]]*40</f>
        <v>5.2749671123565003</v>
      </c>
      <c r="W467"/>
      <c r="X467"/>
      <c r="Y467"/>
      <c r="Z467" s="1"/>
      <c r="AA467" s="1"/>
    </row>
    <row r="468" spans="1:27" ht="27" hidden="1" customHeight="1">
      <c r="A468" t="s">
        <v>14</v>
      </c>
      <c r="B468" t="s">
        <v>92</v>
      </c>
      <c r="C468" t="s">
        <v>14</v>
      </c>
      <c r="D468" s="6">
        <v>0</v>
      </c>
      <c r="E468" t="s">
        <v>531</v>
      </c>
      <c r="F468"/>
      <c r="G468"/>
      <c r="H468" t="s">
        <v>532</v>
      </c>
      <c r="I468" t="s">
        <v>533</v>
      </c>
      <c r="J468" s="28">
        <v>54789</v>
      </c>
      <c r="K468" t="s">
        <v>1451</v>
      </c>
      <c r="L468" t="s">
        <v>36</v>
      </c>
      <c r="M468"/>
      <c r="N468" t="s">
        <v>541</v>
      </c>
      <c r="O468" t="s">
        <v>535</v>
      </c>
      <c r="P468"/>
      <c r="Q468" t="s">
        <v>17</v>
      </c>
      <c r="R468" t="s">
        <v>18</v>
      </c>
      <c r="S468" t="s">
        <v>476</v>
      </c>
      <c r="T468">
        <f>463.5/4</f>
        <v>115.875</v>
      </c>
      <c r="U468" s="2">
        <f>Table1[[#This Row],[Coal Power Plant Size (MW) or Share]]*0.593*9057*211.9*10^(-9)</f>
        <v>0.1318741778089125</v>
      </c>
      <c r="V468" s="2">
        <f>Table1[[#This Row],[Annual Emissions (MMTCO2)]]*40</f>
        <v>5.2749671123565003</v>
      </c>
      <c r="W468"/>
      <c r="X468"/>
      <c r="Y468"/>
      <c r="Z468" s="1"/>
      <c r="AA468" s="1"/>
    </row>
    <row r="469" spans="1:27" ht="27" hidden="1" customHeight="1">
      <c r="A469" t="s">
        <v>14</v>
      </c>
      <c r="B469" t="s">
        <v>87</v>
      </c>
      <c r="C469" t="s">
        <v>14</v>
      </c>
      <c r="D469" s="6"/>
      <c r="E469"/>
      <c r="F469"/>
      <c r="G469"/>
      <c r="H469" t="s">
        <v>532</v>
      </c>
      <c r="I469" t="s">
        <v>944</v>
      </c>
      <c r="J469" s="28">
        <v>54789</v>
      </c>
      <c r="K469" t="s">
        <v>1451</v>
      </c>
      <c r="L469" t="s">
        <v>36</v>
      </c>
      <c r="M469"/>
      <c r="N469"/>
      <c r="O469"/>
      <c r="P469"/>
      <c r="Q469" t="s">
        <v>17</v>
      </c>
      <c r="R469" t="s">
        <v>18</v>
      </c>
      <c r="S469" t="s">
        <v>476</v>
      </c>
      <c r="T469">
        <v>463.5</v>
      </c>
      <c r="U469" s="2">
        <f>Table1[[#This Row],[Coal Power Plant Size (MW) or Share]]*0.593*9057*211.9*10^(-9)</f>
        <v>0.52749671123565001</v>
      </c>
      <c r="V469" s="2">
        <f>Table1[[#This Row],[Annual Emissions (MMTCO2)]]*40</f>
        <v>21.099868449426001</v>
      </c>
      <c r="W469"/>
      <c r="X469"/>
      <c r="Y469"/>
      <c r="Z469" s="1"/>
      <c r="AA469" s="1"/>
    </row>
    <row r="470" spans="1:27" ht="27" hidden="1" customHeight="1">
      <c r="A470" t="s">
        <v>14</v>
      </c>
      <c r="B470" t="s">
        <v>28</v>
      </c>
      <c r="C470" t="s">
        <v>14</v>
      </c>
      <c r="D470" s="6"/>
      <c r="E470" t="s">
        <v>516</v>
      </c>
      <c r="F470"/>
      <c r="G470"/>
      <c r="H470" t="s">
        <v>484</v>
      </c>
      <c r="I470"/>
      <c r="J470" s="28">
        <v>54789</v>
      </c>
      <c r="K470" t="s">
        <v>1482</v>
      </c>
      <c r="L470" t="s">
        <v>71</v>
      </c>
      <c r="M470"/>
      <c r="N470" t="s">
        <v>485</v>
      </c>
      <c r="O470"/>
      <c r="P470"/>
      <c r="Q470" t="s">
        <v>17</v>
      </c>
      <c r="R470" t="s">
        <v>18</v>
      </c>
      <c r="S470" t="s">
        <v>476</v>
      </c>
      <c r="T470">
        <f>300/2</f>
        <v>150</v>
      </c>
      <c r="U470" s="2">
        <f>Table1[[#This Row],[Coal Power Plant Size (MW) or Share]]*0.593*9057*211.9*10^(-9)</f>
        <v>0.170710909785</v>
      </c>
      <c r="V470" s="2">
        <f>Table1[[#This Row],[Annual Emissions (MMTCO2)]]*40</f>
        <v>6.8284363914000004</v>
      </c>
      <c r="W470"/>
      <c r="X470"/>
      <c r="Y470"/>
      <c r="Z470" s="1"/>
      <c r="AA470" s="1"/>
    </row>
    <row r="471" spans="1:27" ht="27" hidden="1" customHeight="1">
      <c r="A471" t="s">
        <v>14</v>
      </c>
      <c r="B471" t="s">
        <v>561</v>
      </c>
      <c r="C471" t="s">
        <v>14</v>
      </c>
      <c r="D471" s="6">
        <v>28000000</v>
      </c>
      <c r="E471" t="s">
        <v>74</v>
      </c>
      <c r="F471"/>
      <c r="G471"/>
      <c r="H471" t="s">
        <v>75</v>
      </c>
      <c r="I471" t="s">
        <v>76</v>
      </c>
      <c r="J471" s="28">
        <v>41333</v>
      </c>
      <c r="K471" t="s">
        <v>1451</v>
      </c>
      <c r="L471" t="s">
        <v>36</v>
      </c>
      <c r="M471"/>
      <c r="N471" t="s">
        <v>77</v>
      </c>
      <c r="O471"/>
      <c r="P471"/>
      <c r="Q471" t="s">
        <v>54</v>
      </c>
      <c r="R471" t="s">
        <v>58</v>
      </c>
      <c r="S471" t="s">
        <v>703</v>
      </c>
      <c r="T471">
        <f>750</f>
        <v>750</v>
      </c>
      <c r="U471" s="2">
        <f>Table1[[#This Row],[Coal Power Plant Size (MW) or Share]]*0.593*9057*211.9*10^(-9)</f>
        <v>0.85355454892500016</v>
      </c>
      <c r="V471" s="2">
        <f>Table1[[#This Row],[Annual Emissions (MMTCO2)]]*40</f>
        <v>34.142181957000005</v>
      </c>
      <c r="W471"/>
      <c r="X471"/>
      <c r="Y471"/>
      <c r="Z471" s="1"/>
      <c r="AA471" s="1"/>
    </row>
    <row r="472" spans="1:27" ht="27" hidden="1" customHeight="1">
      <c r="A472" t="s">
        <v>14</v>
      </c>
      <c r="B472" t="s">
        <v>21</v>
      </c>
      <c r="C472" t="s">
        <v>14</v>
      </c>
      <c r="D472" s="6">
        <v>12100000</v>
      </c>
      <c r="E472" t="s">
        <v>68</v>
      </c>
      <c r="F472"/>
      <c r="G472"/>
      <c r="H472" t="s">
        <v>69</v>
      </c>
      <c r="I472" t="s">
        <v>70</v>
      </c>
      <c r="J472" s="28">
        <v>41471</v>
      </c>
      <c r="K472" t="s">
        <v>1482</v>
      </c>
      <c r="L472" t="s">
        <v>71</v>
      </c>
      <c r="M472"/>
      <c r="N472" t="s">
        <v>72</v>
      </c>
      <c r="O472" t="s">
        <v>73</v>
      </c>
      <c r="P472"/>
      <c r="Q472" t="s">
        <v>54</v>
      </c>
      <c r="R472" t="s">
        <v>58</v>
      </c>
      <c r="S472" t="s">
        <v>703</v>
      </c>
      <c r="T472"/>
      <c r="U472" s="2">
        <f>Table1[[#This Row],[Coal Power Plant Size (MW) or Share]]*0.593*9057*211.9*10^(-9)</f>
        <v>0</v>
      </c>
      <c r="V472" s="2">
        <f>Table1[[#This Row],[Annual Emissions (MMTCO2)]]*40</f>
        <v>0</v>
      </c>
      <c r="W472"/>
      <c r="X472"/>
      <c r="Y472" t="s">
        <v>34</v>
      </c>
      <c r="Z472" s="1"/>
      <c r="AA472" s="1"/>
    </row>
    <row r="473" spans="1:27" ht="27" hidden="1" customHeight="1">
      <c r="A473" t="s">
        <v>14</v>
      </c>
      <c r="B473" t="s">
        <v>21</v>
      </c>
      <c r="C473" t="s">
        <v>14</v>
      </c>
      <c r="D473" s="6">
        <v>200000000</v>
      </c>
      <c r="E473" t="s">
        <v>79</v>
      </c>
      <c r="F473"/>
      <c r="G473"/>
      <c r="H473" t="s">
        <v>80</v>
      </c>
      <c r="I473" t="s">
        <v>81</v>
      </c>
      <c r="J473" s="28">
        <v>41760</v>
      </c>
      <c r="K473" t="s">
        <v>989</v>
      </c>
      <c r="L473" t="s">
        <v>78</v>
      </c>
      <c r="M473"/>
      <c r="N473" t="s">
        <v>82</v>
      </c>
      <c r="O473" t="s">
        <v>83</v>
      </c>
      <c r="P473"/>
      <c r="Q473" t="s">
        <v>54</v>
      </c>
      <c r="R473" t="s">
        <v>58</v>
      </c>
      <c r="S473" t="s">
        <v>703</v>
      </c>
      <c r="T473"/>
      <c r="U473" s="2">
        <f>Table1[[#This Row],[Coal Power Plant Size (MW) or Share]]*0.593*9057*211.9*10^(-9)</f>
        <v>0</v>
      </c>
      <c r="V473" s="2">
        <f>Table1[[#This Row],[Annual Emissions (MMTCO2)]]*40</f>
        <v>0</v>
      </c>
      <c r="W473"/>
      <c r="X473"/>
      <c r="Y473"/>
      <c r="Z473" s="1"/>
      <c r="AA473" s="1"/>
    </row>
    <row r="474" spans="1:27" ht="27" hidden="1" customHeight="1">
      <c r="A474" t="s">
        <v>14</v>
      </c>
      <c r="B474" t="s">
        <v>28</v>
      </c>
      <c r="C474" t="s">
        <v>14</v>
      </c>
      <c r="D474" s="6"/>
      <c r="E474" t="s">
        <v>785</v>
      </c>
      <c r="F474"/>
      <c r="G474"/>
      <c r="H474" t="s">
        <v>489</v>
      </c>
      <c r="I474" t="s">
        <v>950</v>
      </c>
      <c r="J474" s="28">
        <v>54789</v>
      </c>
      <c r="K474" t="s">
        <v>1482</v>
      </c>
      <c r="L474" t="s">
        <v>71</v>
      </c>
      <c r="M474"/>
      <c r="N474" t="s">
        <v>784</v>
      </c>
      <c r="O474" t="s">
        <v>782</v>
      </c>
      <c r="P474"/>
      <c r="Q474" t="s">
        <v>54</v>
      </c>
      <c r="R474" t="s">
        <v>1188</v>
      </c>
      <c r="S474" t="s">
        <v>476</v>
      </c>
      <c r="T474">
        <v>0</v>
      </c>
      <c r="U474" s="2">
        <f>Table1[[#This Row],[Coal Power Plant Size (MW) or Share]]*0.593*9057*211.9*10^(-9)</f>
        <v>0</v>
      </c>
      <c r="V474" s="2">
        <f>Table1[[#This Row],[Annual Emissions (MMTCO2)]]*40</f>
        <v>0</v>
      </c>
      <c r="W474"/>
      <c r="X474"/>
      <c r="Y474"/>
      <c r="Z474" s="1"/>
      <c r="AA474" s="1"/>
    </row>
    <row r="475" spans="1:27" ht="27" hidden="1" customHeight="1">
      <c r="A475" t="s">
        <v>14</v>
      </c>
      <c r="B475" t="s">
        <v>561</v>
      </c>
      <c r="C475" t="s">
        <v>14</v>
      </c>
      <c r="D475" s="6"/>
      <c r="E475" t="s">
        <v>785</v>
      </c>
      <c r="F475"/>
      <c r="G475"/>
      <c r="H475" t="s">
        <v>489</v>
      </c>
      <c r="I475" t="s">
        <v>783</v>
      </c>
      <c r="J475" s="28">
        <v>54789</v>
      </c>
      <c r="K475" t="s">
        <v>1482</v>
      </c>
      <c r="L475" t="s">
        <v>71</v>
      </c>
      <c r="M475"/>
      <c r="N475" t="s">
        <v>784</v>
      </c>
      <c r="O475" t="s">
        <v>782</v>
      </c>
      <c r="P475"/>
      <c r="Q475" t="s">
        <v>54</v>
      </c>
      <c r="R475" t="s">
        <v>224</v>
      </c>
      <c r="S475" t="s">
        <v>476</v>
      </c>
      <c r="T475"/>
      <c r="U475" s="2">
        <f>Table1[[#This Row],[Coal Power Plant Size (MW) or Share]]*0.593*9057*211.9*10^(-9)</f>
        <v>0</v>
      </c>
      <c r="V475" s="2">
        <f>Table1[[#This Row],[Annual Emissions (MMTCO2)]]*40</f>
        <v>0</v>
      </c>
      <c r="W475"/>
      <c r="X475"/>
      <c r="Y475"/>
      <c r="Z475" s="1"/>
      <c r="AA475" s="1"/>
    </row>
    <row r="476" spans="1:27" ht="27" hidden="1" customHeight="1">
      <c r="A476" t="s">
        <v>14</v>
      </c>
      <c r="B476" t="s">
        <v>199</v>
      </c>
      <c r="C476" t="s">
        <v>14</v>
      </c>
      <c r="D476" s="6">
        <v>665000000</v>
      </c>
      <c r="E476"/>
      <c r="F476"/>
      <c r="G476"/>
      <c r="H476" t="s">
        <v>1602</v>
      </c>
      <c r="I476" t="s">
        <v>1841</v>
      </c>
      <c r="J476" s="28">
        <v>41290</v>
      </c>
      <c r="K476" t="s">
        <v>992</v>
      </c>
      <c r="L476" t="s">
        <v>200</v>
      </c>
      <c r="M476"/>
      <c r="N476"/>
      <c r="O476"/>
      <c r="P476"/>
      <c r="Q476" t="s">
        <v>634</v>
      </c>
      <c r="R476" t="s">
        <v>1469</v>
      </c>
      <c r="S476" t="s">
        <v>703</v>
      </c>
      <c r="T476">
        <v>288</v>
      </c>
      <c r="U476" s="2">
        <f>Table1[[#This Row],[Coal Power Plant Size (MW) or Share]]*0.593*9057*211.9*10^(-9)</f>
        <v>0.32776494678719997</v>
      </c>
      <c r="V476" s="2">
        <f>Table1[[#This Row],[Annual Emissions (MMTCO2)]]*40</f>
        <v>13.110597871487998</v>
      </c>
      <c r="W476"/>
      <c r="X476">
        <v>288</v>
      </c>
      <c r="Y476"/>
      <c r="Z476" s="1"/>
      <c r="AA476" s="1"/>
    </row>
    <row r="477" spans="1:27" ht="27" hidden="1" customHeight="1">
      <c r="A477" t="s">
        <v>14</v>
      </c>
      <c r="B477" t="s">
        <v>199</v>
      </c>
      <c r="C477" t="s">
        <v>14</v>
      </c>
      <c r="D477" s="6">
        <v>404870000</v>
      </c>
      <c r="E477"/>
      <c r="F477"/>
      <c r="G477"/>
      <c r="H477" t="s">
        <v>1516</v>
      </c>
      <c r="I477" t="s">
        <v>1762</v>
      </c>
      <c r="J477" s="28">
        <v>41312</v>
      </c>
      <c r="K477" t="s">
        <v>992</v>
      </c>
      <c r="L477" t="s">
        <v>200</v>
      </c>
      <c r="M477"/>
      <c r="N477"/>
      <c r="O477"/>
      <c r="P477"/>
      <c r="Q477" t="s">
        <v>634</v>
      </c>
      <c r="R477" t="s">
        <v>1469</v>
      </c>
      <c r="S477" t="s">
        <v>703</v>
      </c>
      <c r="T477">
        <f>288/2</f>
        <v>144</v>
      </c>
      <c r="U477" s="2">
        <f>Table1[[#This Row],[Coal Power Plant Size (MW) or Share]]*0.593*9057*211.9*10^(-9)</f>
        <v>0.16388247339359999</v>
      </c>
      <c r="V477" s="2">
        <f>Table1[[#This Row],[Annual Emissions (MMTCO2)]]*40</f>
        <v>6.5552989357439992</v>
      </c>
      <c r="W477"/>
      <c r="X477">
        <f>288/2</f>
        <v>144</v>
      </c>
      <c r="Y477"/>
      <c r="Z477" s="1"/>
      <c r="AA477" s="1"/>
    </row>
    <row r="478" spans="1:27" ht="27" hidden="1" customHeight="1">
      <c r="A478" t="s">
        <v>14</v>
      </c>
      <c r="B478" t="s">
        <v>199</v>
      </c>
      <c r="C478" t="s">
        <v>14</v>
      </c>
      <c r="D478" s="6">
        <v>203250000</v>
      </c>
      <c r="E478"/>
      <c r="F478"/>
      <c r="G478"/>
      <c r="H478" t="s">
        <v>1516</v>
      </c>
      <c r="I478" t="s">
        <v>1762</v>
      </c>
      <c r="J478" s="28">
        <v>41312</v>
      </c>
      <c r="K478" t="s">
        <v>992</v>
      </c>
      <c r="L478" t="s">
        <v>200</v>
      </c>
      <c r="M478"/>
      <c r="N478"/>
      <c r="O478"/>
      <c r="P478"/>
      <c r="Q478" t="s">
        <v>634</v>
      </c>
      <c r="R478" t="s">
        <v>1469</v>
      </c>
      <c r="S478" t="s">
        <v>703</v>
      </c>
      <c r="T478">
        <f>288/2</f>
        <v>144</v>
      </c>
      <c r="U478" s="2">
        <f>Table1[[#This Row],[Coal Power Plant Size (MW) or Share]]*0.593*9057*211.9*10^(-9)</f>
        <v>0.16388247339359999</v>
      </c>
      <c r="V478" s="2">
        <f>Table1[[#This Row],[Annual Emissions (MMTCO2)]]*40</f>
        <v>6.5552989357439992</v>
      </c>
      <c r="W478"/>
      <c r="X478">
        <f>288/2</f>
        <v>144</v>
      </c>
      <c r="Y478"/>
      <c r="Z478" s="1"/>
      <c r="AA478" s="1"/>
    </row>
    <row r="479" spans="1:27" ht="27" hidden="1" customHeight="1">
      <c r="A479" t="s">
        <v>14</v>
      </c>
      <c r="B479" t="s">
        <v>87</v>
      </c>
      <c r="C479" t="s">
        <v>14</v>
      </c>
      <c r="D479" s="6">
        <v>35000000</v>
      </c>
      <c r="E479" t="s">
        <v>588</v>
      </c>
      <c r="F479"/>
      <c r="G479"/>
      <c r="H479" t="s">
        <v>626</v>
      </c>
      <c r="I479" t="s">
        <v>698</v>
      </c>
      <c r="J479" s="28">
        <v>41376</v>
      </c>
      <c r="K479" t="s">
        <v>991</v>
      </c>
      <c r="L479" t="s">
        <v>223</v>
      </c>
      <c r="M479"/>
      <c r="N479"/>
      <c r="O479"/>
      <c r="P479"/>
      <c r="Q479" t="s">
        <v>634</v>
      </c>
      <c r="R479" t="s">
        <v>635</v>
      </c>
      <c r="S479" t="s">
        <v>646</v>
      </c>
      <c r="T479">
        <v>57</v>
      </c>
      <c r="U479" s="2">
        <f>Table1[[#This Row],[Coal Power Plant Size (MW) or Share]]*0.593*9057*211.9*10^(-9)</f>
        <v>6.4870145718300007E-2</v>
      </c>
      <c r="V479" s="2">
        <f>Table1[[#This Row],[Annual Emissions (MMTCO2)]]*40</f>
        <v>2.5948058287320004</v>
      </c>
      <c r="W479"/>
      <c r="X479">
        <v>57</v>
      </c>
      <c r="Y479"/>
      <c r="Z479" s="1"/>
      <c r="AA479" s="1"/>
    </row>
    <row r="480" spans="1:27" ht="27" hidden="1" customHeight="1">
      <c r="A480" t="s">
        <v>14</v>
      </c>
      <c r="B480" t="s">
        <v>87</v>
      </c>
      <c r="C480" t="s">
        <v>14</v>
      </c>
      <c r="D480" s="6">
        <v>33180000</v>
      </c>
      <c r="E480" t="s">
        <v>587</v>
      </c>
      <c r="F480"/>
      <c r="G480"/>
      <c r="H480" t="s">
        <v>625</v>
      </c>
      <c r="I480" t="s">
        <v>697</v>
      </c>
      <c r="J480" s="28">
        <v>41380</v>
      </c>
      <c r="K480" t="s">
        <v>989</v>
      </c>
      <c r="L480" t="s">
        <v>78</v>
      </c>
      <c r="M480"/>
      <c r="N480"/>
      <c r="O480"/>
      <c r="P480"/>
      <c r="Q480" t="s">
        <v>634</v>
      </c>
      <c r="R480" t="s">
        <v>636</v>
      </c>
      <c r="S480" t="s">
        <v>646</v>
      </c>
      <c r="T480">
        <v>25</v>
      </c>
      <c r="U480" s="2">
        <f>Table1[[#This Row],[Coal Power Plant Size (MW) or Share]]*0.593*9057*211.9*10^(-9)</f>
        <v>2.8451818297500001E-2</v>
      </c>
      <c r="V480" s="2">
        <f>Table1[[#This Row],[Annual Emissions (MMTCO2)]]*40</f>
        <v>1.1380727318999999</v>
      </c>
      <c r="W480"/>
      <c r="X480">
        <v>25</v>
      </c>
      <c r="Y480"/>
      <c r="Z480" s="1"/>
      <c r="AA480" s="1"/>
    </row>
    <row r="481" spans="1:27" ht="27" hidden="1" customHeight="1">
      <c r="A481" t="s">
        <v>14</v>
      </c>
      <c r="B481" t="s">
        <v>24</v>
      </c>
      <c r="C481" t="s">
        <v>14</v>
      </c>
      <c r="D481" s="6">
        <v>39600000</v>
      </c>
      <c r="E481"/>
      <c r="F481"/>
      <c r="G481"/>
      <c r="H481" t="s">
        <v>1633</v>
      </c>
      <c r="I481" t="s">
        <v>1769</v>
      </c>
      <c r="J481" s="28">
        <v>41394</v>
      </c>
      <c r="K481" t="s">
        <v>990</v>
      </c>
      <c r="L481" t="s">
        <v>1466</v>
      </c>
      <c r="M481"/>
      <c r="N481"/>
      <c r="O481"/>
      <c r="P481"/>
      <c r="Q481" t="s">
        <v>634</v>
      </c>
      <c r="R481" t="s">
        <v>636</v>
      </c>
      <c r="S481" t="s">
        <v>703</v>
      </c>
      <c r="T481">
        <f>50/2</f>
        <v>25</v>
      </c>
      <c r="U481" s="2">
        <f>Table1[[#This Row],[Coal Power Plant Size (MW) or Share]]*0.593*9057*211.9*10^(-9)</f>
        <v>2.8451818297500001E-2</v>
      </c>
      <c r="V481" s="2">
        <f>Table1[[#This Row],[Annual Emissions (MMTCO2)]]*40</f>
        <v>1.1380727318999999</v>
      </c>
      <c r="W481"/>
      <c r="X481">
        <f>50/2</f>
        <v>25</v>
      </c>
      <c r="Y481"/>
      <c r="Z481" s="1"/>
      <c r="AA481" s="1"/>
    </row>
    <row r="482" spans="1:27" ht="27" hidden="1" customHeight="1">
      <c r="A482" t="s">
        <v>14</v>
      </c>
      <c r="B482" t="s">
        <v>561</v>
      </c>
      <c r="C482" t="s">
        <v>14</v>
      </c>
      <c r="D482" s="6">
        <v>25000000</v>
      </c>
      <c r="E482"/>
      <c r="F482"/>
      <c r="G482"/>
      <c r="H482" t="s">
        <v>1504</v>
      </c>
      <c r="I482" t="s">
        <v>1783</v>
      </c>
      <c r="J482" s="28">
        <v>41402</v>
      </c>
      <c r="K482" t="s">
        <v>990</v>
      </c>
      <c r="L482" t="s">
        <v>288</v>
      </c>
      <c r="M482"/>
      <c r="N482"/>
      <c r="O482"/>
      <c r="P482"/>
      <c r="Q482" t="s">
        <v>634</v>
      </c>
      <c r="R482" t="s">
        <v>635</v>
      </c>
      <c r="S482" t="s">
        <v>703</v>
      </c>
      <c r="T482">
        <v>36.799999999999997</v>
      </c>
      <c r="U482" s="2">
        <f>Table1[[#This Row],[Coal Power Plant Size (MW) or Share]]*0.593*9057*211.9*10^(-9)</f>
        <v>4.1881076533920002E-2</v>
      </c>
      <c r="V482" s="2">
        <f>Table1[[#This Row],[Annual Emissions (MMTCO2)]]*40</f>
        <v>1.6752430613568001</v>
      </c>
      <c r="W482"/>
      <c r="X482">
        <v>36.799999999999997</v>
      </c>
      <c r="Y482"/>
      <c r="Z482" s="1"/>
      <c r="AA482" s="1"/>
    </row>
    <row r="483" spans="1:27" ht="27" hidden="1" customHeight="1">
      <c r="A483" t="s">
        <v>14</v>
      </c>
      <c r="B483" t="s">
        <v>87</v>
      </c>
      <c r="C483" t="s">
        <v>14</v>
      </c>
      <c r="D483" s="6">
        <v>30000000</v>
      </c>
      <c r="E483" t="s">
        <v>695</v>
      </c>
      <c r="F483"/>
      <c r="G483"/>
      <c r="H483" t="s">
        <v>623</v>
      </c>
      <c r="I483" t="s">
        <v>694</v>
      </c>
      <c r="J483" s="28">
        <v>41411</v>
      </c>
      <c r="K483" t="s">
        <v>991</v>
      </c>
      <c r="L483" t="s">
        <v>223</v>
      </c>
      <c r="M483"/>
      <c r="N483"/>
      <c r="O483"/>
      <c r="P483"/>
      <c r="Q483" t="s">
        <v>634</v>
      </c>
      <c r="R483" t="s">
        <v>635</v>
      </c>
      <c r="S483" t="s">
        <v>646</v>
      </c>
      <c r="T483">
        <v>16</v>
      </c>
      <c r="U483" s="2">
        <f>Table1[[#This Row],[Coal Power Plant Size (MW) or Share]]*0.593*9057*211.9*10^(-9)</f>
        <v>1.82091637104E-2</v>
      </c>
      <c r="V483" s="2">
        <f>Table1[[#This Row],[Annual Emissions (MMTCO2)]]*40</f>
        <v>0.72836654841600001</v>
      </c>
      <c r="W483"/>
      <c r="X483">
        <v>16</v>
      </c>
      <c r="Y483"/>
      <c r="Z483" s="1"/>
      <c r="AA483" s="1"/>
    </row>
    <row r="484" spans="1:27" ht="27" hidden="1" customHeight="1">
      <c r="A484" t="s">
        <v>14</v>
      </c>
      <c r="B484" t="s">
        <v>561</v>
      </c>
      <c r="C484" t="s">
        <v>14</v>
      </c>
      <c r="D484" s="6">
        <v>164150000</v>
      </c>
      <c r="E484"/>
      <c r="F484"/>
      <c r="G484"/>
      <c r="H484" t="s">
        <v>1496</v>
      </c>
      <c r="I484" t="s">
        <v>1779</v>
      </c>
      <c r="J484" s="28">
        <v>41422</v>
      </c>
      <c r="K484" t="s">
        <v>1482</v>
      </c>
      <c r="L484" t="s">
        <v>31</v>
      </c>
      <c r="M484"/>
      <c r="N484"/>
      <c r="O484"/>
      <c r="P484"/>
      <c r="Q484" t="s">
        <v>634</v>
      </c>
      <c r="R484" t="s">
        <v>636</v>
      </c>
      <c r="S484" t="s">
        <v>703</v>
      </c>
      <c r="T484">
        <v>134.4</v>
      </c>
      <c r="U484" s="2">
        <f>Table1[[#This Row],[Coal Power Plant Size (MW) or Share]]*0.593*9057*211.9*10^(-9)</f>
        <v>0.15295697516736001</v>
      </c>
      <c r="V484" s="2">
        <f>Table1[[#This Row],[Annual Emissions (MMTCO2)]]*40</f>
        <v>6.1182790066944008</v>
      </c>
      <c r="W484"/>
      <c r="X484">
        <v>134.4</v>
      </c>
      <c r="Y484"/>
      <c r="Z484" s="1"/>
      <c r="AA484" s="1"/>
    </row>
    <row r="485" spans="1:27" ht="27" hidden="1" customHeight="1">
      <c r="A485" t="s">
        <v>14</v>
      </c>
      <c r="B485" t="s">
        <v>28</v>
      </c>
      <c r="C485" t="s">
        <v>14</v>
      </c>
      <c r="D485" s="6">
        <v>236000000</v>
      </c>
      <c r="E485"/>
      <c r="F485"/>
      <c r="G485"/>
      <c r="H485" t="s">
        <v>1611</v>
      </c>
      <c r="I485" t="s">
        <v>1766</v>
      </c>
      <c r="J485" s="28">
        <v>41455</v>
      </c>
      <c r="K485" t="s">
        <v>993</v>
      </c>
      <c r="L485" t="s">
        <v>166</v>
      </c>
      <c r="M485"/>
      <c r="N485"/>
      <c r="O485"/>
      <c r="P485"/>
      <c r="Q485" t="s">
        <v>634</v>
      </c>
      <c r="R485" t="s">
        <v>1473</v>
      </c>
      <c r="S485" t="s">
        <v>703</v>
      </c>
      <c r="T485">
        <f>160/6</f>
        <v>26.666666666666668</v>
      </c>
      <c r="U485" s="2">
        <f>Table1[[#This Row],[Coal Power Plant Size (MW) or Share]]*0.593*9057*211.9*10^(-9)</f>
        <v>3.0348606183999999E-2</v>
      </c>
      <c r="V485" s="2">
        <f>Table1[[#This Row],[Annual Emissions (MMTCO2)]]*40</f>
        <v>1.21394424736</v>
      </c>
      <c r="W485"/>
      <c r="X485">
        <f>160/6</f>
        <v>26.666666666666668</v>
      </c>
      <c r="Y485"/>
      <c r="Z485" s="1"/>
      <c r="AA485" s="1"/>
    </row>
    <row r="486" spans="1:27" ht="27" hidden="1" customHeight="1">
      <c r="A486" t="s">
        <v>14</v>
      </c>
      <c r="B486" t="s">
        <v>566</v>
      </c>
      <c r="C486" t="s">
        <v>14</v>
      </c>
      <c r="D486" s="6">
        <v>100000000</v>
      </c>
      <c r="E486"/>
      <c r="F486"/>
      <c r="G486"/>
      <c r="H486" t="s">
        <v>1611</v>
      </c>
      <c r="I486" t="s">
        <v>1766</v>
      </c>
      <c r="J486" s="28">
        <v>41455</v>
      </c>
      <c r="K486" t="s">
        <v>993</v>
      </c>
      <c r="L486" t="s">
        <v>166</v>
      </c>
      <c r="M486"/>
      <c r="N486"/>
      <c r="O486"/>
      <c r="P486"/>
      <c r="Q486" t="s">
        <v>634</v>
      </c>
      <c r="R486" t="s">
        <v>1473</v>
      </c>
      <c r="S486" t="s">
        <v>703</v>
      </c>
      <c r="T486">
        <f>160/6</f>
        <v>26.666666666666668</v>
      </c>
      <c r="U486" s="2">
        <f>Table1[[#This Row],[Coal Power Plant Size (MW) or Share]]*0.593*9057*211.9*10^(-9)</f>
        <v>3.0348606183999999E-2</v>
      </c>
      <c r="V486" s="2">
        <f>Table1[[#This Row],[Annual Emissions (MMTCO2)]]*40</f>
        <v>1.21394424736</v>
      </c>
      <c r="W486"/>
      <c r="X486">
        <f>160/6</f>
        <v>26.666666666666668</v>
      </c>
      <c r="Y486"/>
      <c r="Z486" s="1"/>
      <c r="AA486" s="1"/>
    </row>
    <row r="487" spans="1:27" ht="27" hidden="1" customHeight="1">
      <c r="A487" t="s">
        <v>14</v>
      </c>
      <c r="B487" t="s">
        <v>199</v>
      </c>
      <c r="C487" t="s">
        <v>14</v>
      </c>
      <c r="D487" s="6">
        <v>156000000</v>
      </c>
      <c r="E487"/>
      <c r="F487"/>
      <c r="G487"/>
      <c r="H487" t="s">
        <v>1611</v>
      </c>
      <c r="I487" t="s">
        <v>1766</v>
      </c>
      <c r="J487" s="28">
        <v>41455</v>
      </c>
      <c r="K487" t="s">
        <v>993</v>
      </c>
      <c r="L487" t="s">
        <v>166</v>
      </c>
      <c r="M487"/>
      <c r="N487"/>
      <c r="O487"/>
      <c r="P487"/>
      <c r="Q487" t="s">
        <v>634</v>
      </c>
      <c r="R487" t="s">
        <v>1473</v>
      </c>
      <c r="S487" t="s">
        <v>703</v>
      </c>
      <c r="T487">
        <f>160/6</f>
        <v>26.666666666666668</v>
      </c>
      <c r="U487" s="2">
        <f>Table1[[#This Row],[Coal Power Plant Size (MW) or Share]]*0.593*9057*211.9*10^(-9)</f>
        <v>3.0348606183999999E-2</v>
      </c>
      <c r="V487" s="2">
        <f>Table1[[#This Row],[Annual Emissions (MMTCO2)]]*40</f>
        <v>1.21394424736</v>
      </c>
      <c r="W487"/>
      <c r="X487">
        <f>160/6</f>
        <v>26.666666666666668</v>
      </c>
      <c r="Y487"/>
      <c r="Z487" s="1"/>
      <c r="AA487" s="1"/>
    </row>
    <row r="488" spans="1:27" ht="27" hidden="1" customHeight="1">
      <c r="A488" t="s">
        <v>14</v>
      </c>
      <c r="B488" t="s">
        <v>1019</v>
      </c>
      <c r="C488" t="s">
        <v>14</v>
      </c>
      <c r="D488" s="6">
        <v>200000000</v>
      </c>
      <c r="E488"/>
      <c r="F488"/>
      <c r="G488"/>
      <c r="H488" t="s">
        <v>1611</v>
      </c>
      <c r="I488" t="s">
        <v>1766</v>
      </c>
      <c r="J488" s="28">
        <v>41455</v>
      </c>
      <c r="K488" t="s">
        <v>993</v>
      </c>
      <c r="L488" t="s">
        <v>166</v>
      </c>
      <c r="M488"/>
      <c r="N488"/>
      <c r="O488"/>
      <c r="P488"/>
      <c r="Q488" t="s">
        <v>634</v>
      </c>
      <c r="R488" t="s">
        <v>1473</v>
      </c>
      <c r="S488" t="s">
        <v>703</v>
      </c>
      <c r="T488">
        <f>160/6</f>
        <v>26.666666666666668</v>
      </c>
      <c r="U488" s="2">
        <f>Table1[[#This Row],[Coal Power Plant Size (MW) or Share]]*0.593*9057*211.9*10^(-9)</f>
        <v>3.0348606183999999E-2</v>
      </c>
      <c r="V488" s="2">
        <f>Table1[[#This Row],[Annual Emissions (MMTCO2)]]*40</f>
        <v>1.21394424736</v>
      </c>
      <c r="W488"/>
      <c r="X488">
        <f>160/6</f>
        <v>26.666666666666668</v>
      </c>
      <c r="Y488"/>
      <c r="Z488" s="1"/>
      <c r="AA488" s="1"/>
    </row>
    <row r="489" spans="1:27" ht="27" hidden="1" customHeight="1">
      <c r="A489" t="s">
        <v>14</v>
      </c>
      <c r="B489" t="s">
        <v>92</v>
      </c>
      <c r="C489" t="s">
        <v>14</v>
      </c>
      <c r="D489" s="6">
        <v>78000000</v>
      </c>
      <c r="E489"/>
      <c r="F489"/>
      <c r="G489"/>
      <c r="H489" t="s">
        <v>1638</v>
      </c>
      <c r="I489" t="s">
        <v>1816</v>
      </c>
      <c r="J489" s="28">
        <v>41465</v>
      </c>
      <c r="K489" t="s">
        <v>992</v>
      </c>
      <c r="L489" t="s">
        <v>112</v>
      </c>
      <c r="M489"/>
      <c r="N489"/>
      <c r="O489"/>
      <c r="P489"/>
      <c r="Q489" t="s">
        <v>634</v>
      </c>
      <c r="R489" t="s">
        <v>636</v>
      </c>
      <c r="S489" t="s">
        <v>703</v>
      </c>
      <c r="T489">
        <f>103.5/2</f>
        <v>51.75</v>
      </c>
      <c r="U489" s="2">
        <f>Table1[[#This Row],[Coal Power Plant Size (MW) or Share]]*0.593*9057*211.9*10^(-9)</f>
        <v>5.8895263875825006E-2</v>
      </c>
      <c r="V489" s="2">
        <f>Table1[[#This Row],[Annual Emissions (MMTCO2)]]*40</f>
        <v>2.3558105550330004</v>
      </c>
      <c r="W489"/>
      <c r="X489">
        <f>103.5/2</f>
        <v>51.75</v>
      </c>
      <c r="Y489"/>
      <c r="Z489" s="1"/>
      <c r="AA489" s="1"/>
    </row>
    <row r="490" spans="1:27" ht="27" hidden="1" customHeight="1">
      <c r="A490" t="s">
        <v>14</v>
      </c>
      <c r="B490" t="s">
        <v>92</v>
      </c>
      <c r="C490" t="s">
        <v>14</v>
      </c>
      <c r="D490" s="6">
        <v>16000000</v>
      </c>
      <c r="E490"/>
      <c r="F490"/>
      <c r="G490"/>
      <c r="H490" t="s">
        <v>1638</v>
      </c>
      <c r="I490" t="s">
        <v>1816</v>
      </c>
      <c r="J490" s="28">
        <v>41465</v>
      </c>
      <c r="K490" t="s">
        <v>992</v>
      </c>
      <c r="L490" t="s">
        <v>112</v>
      </c>
      <c r="M490"/>
      <c r="N490"/>
      <c r="O490"/>
      <c r="P490"/>
      <c r="Q490" t="s">
        <v>634</v>
      </c>
      <c r="R490" t="s">
        <v>636</v>
      </c>
      <c r="S490" t="s">
        <v>703</v>
      </c>
      <c r="T490">
        <f>103.5/2</f>
        <v>51.75</v>
      </c>
      <c r="U490" s="2">
        <f>Table1[[#This Row],[Coal Power Plant Size (MW) or Share]]*0.593*9057*211.9*10^(-9)</f>
        <v>5.8895263875825006E-2</v>
      </c>
      <c r="V490" s="2">
        <f>Table1[[#This Row],[Annual Emissions (MMTCO2)]]*40</f>
        <v>2.3558105550330004</v>
      </c>
      <c r="W490"/>
      <c r="X490">
        <f>103.5/2</f>
        <v>51.75</v>
      </c>
      <c r="Y490"/>
      <c r="Z490" s="1"/>
      <c r="AA490" s="1"/>
    </row>
    <row r="491" spans="1:27" ht="27" hidden="1" customHeight="1">
      <c r="A491" t="s">
        <v>14</v>
      </c>
      <c r="B491" t="s">
        <v>561</v>
      </c>
      <c r="C491" t="s">
        <v>14</v>
      </c>
      <c r="D491" s="6">
        <v>19740000</v>
      </c>
      <c r="E491"/>
      <c r="F491"/>
      <c r="G491"/>
      <c r="H491" t="s">
        <v>1564</v>
      </c>
      <c r="I491" t="s">
        <v>1796</v>
      </c>
      <c r="J491" s="28">
        <v>41468</v>
      </c>
      <c r="K491" t="s">
        <v>992</v>
      </c>
      <c r="L491" t="s">
        <v>435</v>
      </c>
      <c r="M491"/>
      <c r="N491"/>
      <c r="O491"/>
      <c r="P491"/>
      <c r="Q491" t="s">
        <v>634</v>
      </c>
      <c r="R491" t="s">
        <v>636</v>
      </c>
      <c r="S491" t="s">
        <v>703</v>
      </c>
      <c r="T491">
        <v>30</v>
      </c>
      <c r="U491" s="2">
        <f>Table1[[#This Row],[Coal Power Plant Size (MW) or Share]]*0.593*9057*211.9*10^(-9)</f>
        <v>3.4142181957000008E-2</v>
      </c>
      <c r="V491" s="2">
        <f>Table1[[#This Row],[Annual Emissions (MMTCO2)]]*40</f>
        <v>1.3656872782800002</v>
      </c>
      <c r="W491"/>
      <c r="X491">
        <v>30</v>
      </c>
      <c r="Y491"/>
      <c r="Z491" s="1"/>
      <c r="AA491" s="1"/>
    </row>
    <row r="492" spans="1:27" ht="27" hidden="1" customHeight="1">
      <c r="A492" t="s">
        <v>14</v>
      </c>
      <c r="B492" t="s">
        <v>87</v>
      </c>
      <c r="C492" t="s">
        <v>14</v>
      </c>
      <c r="D492" s="6">
        <v>33430000</v>
      </c>
      <c r="E492" t="s">
        <v>693</v>
      </c>
      <c r="F492"/>
      <c r="G492"/>
      <c r="H492" t="s">
        <v>622</v>
      </c>
      <c r="I492" t="s">
        <v>692</v>
      </c>
      <c r="J492" s="28">
        <v>41479</v>
      </c>
      <c r="K492" t="s">
        <v>989</v>
      </c>
      <c r="L492" t="s">
        <v>78</v>
      </c>
      <c r="M492"/>
      <c r="N492"/>
      <c r="O492"/>
      <c r="P492"/>
      <c r="Q492" t="s">
        <v>634</v>
      </c>
      <c r="R492" t="s">
        <v>636</v>
      </c>
      <c r="S492" t="s">
        <v>646</v>
      </c>
      <c r="T492">
        <v>16.666666666666668</v>
      </c>
      <c r="U492" s="2">
        <f>Table1[[#This Row],[Coal Power Plant Size (MW) or Share]]*0.593*9057*211.9*10^(-9)</f>
        <v>1.8967878864999999E-2</v>
      </c>
      <c r="V492" s="2">
        <f>Table1[[#This Row],[Annual Emissions (MMTCO2)]]*40</f>
        <v>0.75871515459999994</v>
      </c>
      <c r="W492"/>
      <c r="X492">
        <v>16.666666666666668</v>
      </c>
      <c r="Y492"/>
      <c r="Z492" s="1"/>
      <c r="AA492" s="1"/>
    </row>
    <row r="493" spans="1:27" ht="27" hidden="1" customHeight="1">
      <c r="A493" t="s">
        <v>14</v>
      </c>
      <c r="B493" t="s">
        <v>24</v>
      </c>
      <c r="C493" t="s">
        <v>14</v>
      </c>
      <c r="D493" s="6">
        <v>20700000</v>
      </c>
      <c r="E493"/>
      <c r="F493"/>
      <c r="G493"/>
      <c r="H493" t="s">
        <v>1644</v>
      </c>
      <c r="I493" t="s">
        <v>1784</v>
      </c>
      <c r="J493" s="28">
        <v>41485</v>
      </c>
      <c r="K493" t="s">
        <v>990</v>
      </c>
      <c r="L493" t="s">
        <v>20</v>
      </c>
      <c r="M493"/>
      <c r="N493"/>
      <c r="O493"/>
      <c r="P493"/>
      <c r="Q493" t="s">
        <v>634</v>
      </c>
      <c r="R493" t="s">
        <v>635</v>
      </c>
      <c r="S493" t="s">
        <v>703</v>
      </c>
      <c r="T493">
        <f>26.1/2</f>
        <v>13.05</v>
      </c>
      <c r="U493" s="2">
        <f>Table1[[#This Row],[Coal Power Plant Size (MW) or Share]]*0.593*9057*211.9*10^(-9)</f>
        <v>1.4851849151294999E-2</v>
      </c>
      <c r="V493" s="2">
        <f>Table1[[#This Row],[Annual Emissions (MMTCO2)]]*40</f>
        <v>0.59407396605179996</v>
      </c>
      <c r="W493"/>
      <c r="X493">
        <f>26.1/2</f>
        <v>13.05</v>
      </c>
      <c r="Y493"/>
      <c r="Z493" s="1"/>
      <c r="AA493" s="1"/>
    </row>
    <row r="494" spans="1:27" ht="27" hidden="1" customHeight="1">
      <c r="A494" t="s">
        <v>14</v>
      </c>
      <c r="B494" t="s">
        <v>561</v>
      </c>
      <c r="C494" t="s">
        <v>14</v>
      </c>
      <c r="D494" s="6">
        <v>65000000</v>
      </c>
      <c r="E494"/>
      <c r="F494"/>
      <c r="G494"/>
      <c r="H494" t="s">
        <v>1497</v>
      </c>
      <c r="I494" t="s">
        <v>1789</v>
      </c>
      <c r="J494" s="28">
        <v>41528</v>
      </c>
      <c r="K494" t="s">
        <v>990</v>
      </c>
      <c r="L494" t="s">
        <v>20</v>
      </c>
      <c r="M494"/>
      <c r="N494"/>
      <c r="O494"/>
      <c r="P494"/>
      <c r="Q494" t="s">
        <v>634</v>
      </c>
      <c r="R494" t="s">
        <v>635</v>
      </c>
      <c r="S494" t="s">
        <v>703</v>
      </c>
      <c r="T494">
        <f>100/2</f>
        <v>50</v>
      </c>
      <c r="U494" s="2">
        <f>Table1[[#This Row],[Coal Power Plant Size (MW) or Share]]*0.593*9057*211.9*10^(-9)</f>
        <v>5.6903636595000001E-2</v>
      </c>
      <c r="V494" s="2">
        <f>Table1[[#This Row],[Annual Emissions (MMTCO2)]]*40</f>
        <v>2.2761454637999998</v>
      </c>
      <c r="W494"/>
      <c r="X494">
        <f>100/2</f>
        <v>50</v>
      </c>
      <c r="Y494"/>
      <c r="Z494" s="1"/>
      <c r="AA494" s="1"/>
    </row>
    <row r="495" spans="1:27" ht="27" hidden="1" customHeight="1">
      <c r="A495" t="s">
        <v>14</v>
      </c>
      <c r="B495" t="s">
        <v>561</v>
      </c>
      <c r="C495" t="s">
        <v>14</v>
      </c>
      <c r="D495" s="6">
        <v>9300000</v>
      </c>
      <c r="E495"/>
      <c r="F495"/>
      <c r="G495"/>
      <c r="H495" t="s">
        <v>1578</v>
      </c>
      <c r="I495" t="s">
        <v>1786</v>
      </c>
      <c r="J495" s="28">
        <v>41584</v>
      </c>
      <c r="K495" t="s">
        <v>990</v>
      </c>
      <c r="L495" t="s">
        <v>20</v>
      </c>
      <c r="M495"/>
      <c r="N495"/>
      <c r="O495"/>
      <c r="P495"/>
      <c r="Q495" t="s">
        <v>634</v>
      </c>
      <c r="R495" t="s">
        <v>635</v>
      </c>
      <c r="S495" t="s">
        <v>703</v>
      </c>
      <c r="T495">
        <f>29.1/3</f>
        <v>9.7000000000000011</v>
      </c>
      <c r="U495" s="2">
        <f>Table1[[#This Row],[Coal Power Plant Size (MW) or Share]]*0.593*9057*211.9*10^(-9)</f>
        <v>1.1039305499430002E-2</v>
      </c>
      <c r="V495" s="2">
        <f>Table1[[#This Row],[Annual Emissions (MMTCO2)]]*40</f>
        <v>0.44157221997720009</v>
      </c>
      <c r="W495"/>
      <c r="X495">
        <f>29.1/3</f>
        <v>9.7000000000000011</v>
      </c>
      <c r="Y495"/>
      <c r="Z495" s="1"/>
      <c r="AA495" s="1"/>
    </row>
    <row r="496" spans="1:27" ht="27" hidden="1" customHeight="1">
      <c r="A496" t="s">
        <v>14</v>
      </c>
      <c r="B496" t="s">
        <v>561</v>
      </c>
      <c r="C496" t="s">
        <v>14</v>
      </c>
      <c r="D496" s="6">
        <v>5000000</v>
      </c>
      <c r="E496"/>
      <c r="F496"/>
      <c r="G496"/>
      <c r="H496" t="s">
        <v>1578</v>
      </c>
      <c r="I496" t="s">
        <v>1786</v>
      </c>
      <c r="J496" s="28">
        <v>41584</v>
      </c>
      <c r="K496" t="s">
        <v>990</v>
      </c>
      <c r="L496" t="s">
        <v>20</v>
      </c>
      <c r="M496"/>
      <c r="N496"/>
      <c r="O496"/>
      <c r="P496"/>
      <c r="Q496" t="s">
        <v>634</v>
      </c>
      <c r="R496" t="s">
        <v>635</v>
      </c>
      <c r="S496" t="s">
        <v>703</v>
      </c>
      <c r="T496">
        <f>29.1/3</f>
        <v>9.7000000000000011</v>
      </c>
      <c r="U496" s="2">
        <f>Table1[[#This Row],[Coal Power Plant Size (MW) or Share]]*0.593*9057*211.9*10^(-9)</f>
        <v>1.1039305499430002E-2</v>
      </c>
      <c r="V496" s="2">
        <f>Table1[[#This Row],[Annual Emissions (MMTCO2)]]*40</f>
        <v>0.44157221997720009</v>
      </c>
      <c r="W496"/>
      <c r="X496">
        <f>29.1/3</f>
        <v>9.7000000000000011</v>
      </c>
      <c r="Y496"/>
      <c r="Z496" s="1"/>
      <c r="AA496" s="1"/>
    </row>
    <row r="497" spans="1:27" ht="27" hidden="1" customHeight="1">
      <c r="A497" t="s">
        <v>14</v>
      </c>
      <c r="B497" t="s">
        <v>199</v>
      </c>
      <c r="C497" t="s">
        <v>14</v>
      </c>
      <c r="D497" s="6">
        <v>70350000</v>
      </c>
      <c r="E497"/>
      <c r="F497"/>
      <c r="G497"/>
      <c r="H497" t="s">
        <v>1559</v>
      </c>
      <c r="I497" t="s">
        <v>1799</v>
      </c>
      <c r="J497" s="28">
        <v>41597</v>
      </c>
      <c r="K497" t="s">
        <v>990</v>
      </c>
      <c r="L497" t="s">
        <v>1471</v>
      </c>
      <c r="M497"/>
      <c r="N497"/>
      <c r="O497"/>
      <c r="P497"/>
      <c r="Q497" t="s">
        <v>634</v>
      </c>
      <c r="R497" t="s">
        <v>638</v>
      </c>
      <c r="S497" t="s">
        <v>703</v>
      </c>
      <c r="T497">
        <f>155/2</f>
        <v>77.5</v>
      </c>
      <c r="U497" s="2">
        <f>Table1[[#This Row],[Coal Power Plant Size (MW) or Share]]*0.593*9057*211.9*10^(-9)</f>
        <v>8.8200636722250009E-2</v>
      </c>
      <c r="V497" s="2">
        <f>Table1[[#This Row],[Annual Emissions (MMTCO2)]]*40</f>
        <v>3.5280254688900001</v>
      </c>
      <c r="W497"/>
      <c r="X497">
        <f>155/2</f>
        <v>77.5</v>
      </c>
      <c r="Y497"/>
      <c r="Z497" s="1"/>
      <c r="AA497" s="1"/>
    </row>
    <row r="498" spans="1:27" ht="27" hidden="1" customHeight="1">
      <c r="A498" t="s">
        <v>14</v>
      </c>
      <c r="B498" t="s">
        <v>199</v>
      </c>
      <c r="C498" t="s">
        <v>14</v>
      </c>
      <c r="D498" s="6">
        <v>72240000</v>
      </c>
      <c r="E498"/>
      <c r="F498"/>
      <c r="G498"/>
      <c r="H498" t="s">
        <v>1682</v>
      </c>
      <c r="I498" t="s">
        <v>1803</v>
      </c>
      <c r="J498" s="28">
        <v>41607</v>
      </c>
      <c r="K498" t="s">
        <v>993</v>
      </c>
      <c r="L498" t="s">
        <v>1478</v>
      </c>
      <c r="M498"/>
      <c r="N498"/>
      <c r="O498"/>
      <c r="P498"/>
      <c r="Q498" t="s">
        <v>634</v>
      </c>
      <c r="R498" t="s">
        <v>636</v>
      </c>
      <c r="S498" t="s">
        <v>703</v>
      </c>
      <c r="T498">
        <f>117/4</f>
        <v>29.25</v>
      </c>
      <c r="U498" s="2">
        <f>Table1[[#This Row],[Coal Power Plant Size (MW) or Share]]*0.593*9057*211.9*10^(-9)</f>
        <v>3.3288627408074999E-2</v>
      </c>
      <c r="V498" s="2">
        <f>Table1[[#This Row],[Annual Emissions (MMTCO2)]]*40</f>
        <v>1.331545096323</v>
      </c>
      <c r="W498"/>
      <c r="X498">
        <f>117/4</f>
        <v>29.25</v>
      </c>
      <c r="Y498"/>
      <c r="Z498" s="1"/>
      <c r="AA498" s="1"/>
    </row>
    <row r="499" spans="1:27" ht="27" hidden="1" customHeight="1">
      <c r="A499" t="s">
        <v>14</v>
      </c>
      <c r="B499" t="s">
        <v>561</v>
      </c>
      <c r="C499" t="s">
        <v>14</v>
      </c>
      <c r="D499" s="6">
        <v>54730000</v>
      </c>
      <c r="E499"/>
      <c r="F499"/>
      <c r="G499"/>
      <c r="H499" t="s">
        <v>1682</v>
      </c>
      <c r="I499" t="s">
        <v>1803</v>
      </c>
      <c r="J499" s="28">
        <v>41607</v>
      </c>
      <c r="K499" t="s">
        <v>993</v>
      </c>
      <c r="L499" t="s">
        <v>1478</v>
      </c>
      <c r="M499"/>
      <c r="N499"/>
      <c r="O499"/>
      <c r="P499"/>
      <c r="Q499" t="s">
        <v>634</v>
      </c>
      <c r="R499" t="s">
        <v>636</v>
      </c>
      <c r="S499" t="s">
        <v>703</v>
      </c>
      <c r="T499">
        <f>117/4</f>
        <v>29.25</v>
      </c>
      <c r="U499" s="2">
        <f>Table1[[#This Row],[Coal Power Plant Size (MW) or Share]]*0.593*9057*211.9*10^(-9)</f>
        <v>3.3288627408074999E-2</v>
      </c>
      <c r="V499" s="2">
        <f>Table1[[#This Row],[Annual Emissions (MMTCO2)]]*40</f>
        <v>1.331545096323</v>
      </c>
      <c r="W499"/>
      <c r="X499">
        <f>117/4</f>
        <v>29.25</v>
      </c>
      <c r="Y499"/>
      <c r="Z499" s="1"/>
      <c r="AA499" s="1"/>
    </row>
    <row r="500" spans="1:27" ht="27" hidden="1" customHeight="1">
      <c r="A500" t="s">
        <v>14</v>
      </c>
      <c r="B500" t="s">
        <v>561</v>
      </c>
      <c r="C500" t="s">
        <v>14</v>
      </c>
      <c r="D500" s="6">
        <v>30000000</v>
      </c>
      <c r="E500"/>
      <c r="F500"/>
      <c r="G500"/>
      <c r="H500" t="s">
        <v>1682</v>
      </c>
      <c r="I500" t="s">
        <v>1803</v>
      </c>
      <c r="J500" s="28">
        <v>41607</v>
      </c>
      <c r="K500" t="s">
        <v>993</v>
      </c>
      <c r="L500" t="s">
        <v>1478</v>
      </c>
      <c r="M500"/>
      <c r="N500"/>
      <c r="O500"/>
      <c r="P500"/>
      <c r="Q500" t="s">
        <v>634</v>
      </c>
      <c r="R500" t="s">
        <v>636</v>
      </c>
      <c r="S500" t="s">
        <v>703</v>
      </c>
      <c r="T500">
        <f>117/4</f>
        <v>29.25</v>
      </c>
      <c r="U500" s="2">
        <f>Table1[[#This Row],[Coal Power Plant Size (MW) or Share]]*0.593*9057*211.9*10^(-9)</f>
        <v>3.3288627408074999E-2</v>
      </c>
      <c r="V500" s="2">
        <f>Table1[[#This Row],[Annual Emissions (MMTCO2)]]*40</f>
        <v>1.331545096323</v>
      </c>
      <c r="W500"/>
      <c r="X500">
        <f>117/4</f>
        <v>29.25</v>
      </c>
      <c r="Y500"/>
      <c r="Z500" s="1"/>
      <c r="AA500" s="1"/>
    </row>
    <row r="501" spans="1:27" ht="27" hidden="1" customHeight="1">
      <c r="A501" t="s">
        <v>14</v>
      </c>
      <c r="B501" t="s">
        <v>561</v>
      </c>
      <c r="C501" t="s">
        <v>14</v>
      </c>
      <c r="D501" s="6">
        <v>14360000</v>
      </c>
      <c r="E501"/>
      <c r="F501"/>
      <c r="G501"/>
      <c r="H501" t="s">
        <v>1682</v>
      </c>
      <c r="I501" t="s">
        <v>1803</v>
      </c>
      <c r="J501" s="28">
        <v>41607</v>
      </c>
      <c r="K501" t="s">
        <v>993</v>
      </c>
      <c r="L501" t="s">
        <v>1478</v>
      </c>
      <c r="M501"/>
      <c r="N501"/>
      <c r="O501"/>
      <c r="P501"/>
      <c r="Q501" t="s">
        <v>634</v>
      </c>
      <c r="R501" t="s">
        <v>636</v>
      </c>
      <c r="S501" t="s">
        <v>703</v>
      </c>
      <c r="T501">
        <f>117/4</f>
        <v>29.25</v>
      </c>
      <c r="U501" s="2">
        <f>Table1[[#This Row],[Coal Power Plant Size (MW) or Share]]*0.593*9057*211.9*10^(-9)</f>
        <v>3.3288627408074999E-2</v>
      </c>
      <c r="V501" s="2">
        <f>Table1[[#This Row],[Annual Emissions (MMTCO2)]]*40</f>
        <v>1.331545096323</v>
      </c>
      <c r="W501"/>
      <c r="X501">
        <f>117/4</f>
        <v>29.25</v>
      </c>
      <c r="Y501"/>
      <c r="Z501" s="1"/>
      <c r="AA501" s="1"/>
    </row>
    <row r="502" spans="1:27" ht="27" hidden="1" customHeight="1">
      <c r="A502" t="s">
        <v>14</v>
      </c>
      <c r="B502" t="s">
        <v>92</v>
      </c>
      <c r="C502" t="s">
        <v>14</v>
      </c>
      <c r="D502" s="6">
        <v>99000000</v>
      </c>
      <c r="E502"/>
      <c r="F502"/>
      <c r="G502"/>
      <c r="H502" t="s">
        <v>1634</v>
      </c>
      <c r="I502" t="s">
        <v>1805</v>
      </c>
      <c r="J502" s="28">
        <v>41626</v>
      </c>
      <c r="K502" t="s">
        <v>992</v>
      </c>
      <c r="L502" t="s">
        <v>112</v>
      </c>
      <c r="M502"/>
      <c r="N502"/>
      <c r="O502"/>
      <c r="P502"/>
      <c r="Q502" t="s">
        <v>634</v>
      </c>
      <c r="R502" t="s">
        <v>636</v>
      </c>
      <c r="S502" t="s">
        <v>703</v>
      </c>
      <c r="T502">
        <v>79.5</v>
      </c>
      <c r="U502" s="2">
        <f>Table1[[#This Row],[Coal Power Plant Size (MW) or Share]]*0.593*9057*211.9*10^(-9)</f>
        <v>9.047678218605E-2</v>
      </c>
      <c r="V502" s="2">
        <f>Table1[[#This Row],[Annual Emissions (MMTCO2)]]*40</f>
        <v>3.6190712874419999</v>
      </c>
      <c r="W502"/>
      <c r="X502">
        <v>79.5</v>
      </c>
      <c r="Y502"/>
      <c r="Z502" s="1"/>
      <c r="AA502" s="1"/>
    </row>
    <row r="503" spans="1:27" ht="27" hidden="1" customHeight="1">
      <c r="A503" t="s">
        <v>14</v>
      </c>
      <c r="B503" t="s">
        <v>92</v>
      </c>
      <c r="C503" t="s">
        <v>14</v>
      </c>
      <c r="D503" s="6">
        <v>30330000</v>
      </c>
      <c r="E503"/>
      <c r="F503"/>
      <c r="G503"/>
      <c r="H503" t="s">
        <v>1626</v>
      </c>
      <c r="I503" t="s">
        <v>1809</v>
      </c>
      <c r="J503" s="28">
        <v>41680</v>
      </c>
      <c r="K503" t="s">
        <v>992</v>
      </c>
      <c r="L503" t="s">
        <v>112</v>
      </c>
      <c r="M503"/>
      <c r="N503"/>
      <c r="O503"/>
      <c r="P503"/>
      <c r="Q503" t="s">
        <v>634</v>
      </c>
      <c r="R503" t="s">
        <v>636</v>
      </c>
      <c r="S503" t="s">
        <v>703</v>
      </c>
      <c r="T503">
        <v>22.5</v>
      </c>
      <c r="U503" s="2">
        <f>Table1[[#This Row],[Coal Power Plant Size (MW) or Share]]*0.593*9057*211.9*10^(-9)</f>
        <v>2.5606636467750001E-2</v>
      </c>
      <c r="V503" s="2">
        <f>Table1[[#This Row],[Annual Emissions (MMTCO2)]]*40</f>
        <v>1.02426545871</v>
      </c>
      <c r="W503"/>
      <c r="X503">
        <v>22.5</v>
      </c>
      <c r="Y503"/>
      <c r="Z503" s="1"/>
      <c r="AA503" s="1"/>
    </row>
    <row r="504" spans="1:27" ht="27" hidden="1" customHeight="1">
      <c r="A504" t="s">
        <v>14</v>
      </c>
      <c r="B504" t="s">
        <v>199</v>
      </c>
      <c r="C504" t="s">
        <v>14</v>
      </c>
      <c r="D504" s="6">
        <v>204580000</v>
      </c>
      <c r="E504"/>
      <c r="F504"/>
      <c r="G504"/>
      <c r="H504" t="s">
        <v>1621</v>
      </c>
      <c r="I504" t="s">
        <v>1810</v>
      </c>
      <c r="J504" s="28">
        <v>41684</v>
      </c>
      <c r="K504" t="s">
        <v>992</v>
      </c>
      <c r="L504" t="s">
        <v>649</v>
      </c>
      <c r="M504"/>
      <c r="N504"/>
      <c r="O504"/>
      <c r="P504"/>
      <c r="Q504" t="s">
        <v>634</v>
      </c>
      <c r="R504" t="s">
        <v>636</v>
      </c>
      <c r="S504" t="s">
        <v>703</v>
      </c>
      <c r="T504">
        <f>195/2</f>
        <v>97.5</v>
      </c>
      <c r="U504" s="2">
        <f>Table1[[#This Row],[Coal Power Plant Size (MW) or Share]]*0.593*9057*211.9*10^(-9)</f>
        <v>0.11096209136025001</v>
      </c>
      <c r="V504" s="2">
        <f>Table1[[#This Row],[Annual Emissions (MMTCO2)]]*40</f>
        <v>4.4384836544100006</v>
      </c>
      <c r="W504"/>
      <c r="X504">
        <f>195/2</f>
        <v>97.5</v>
      </c>
      <c r="Y504"/>
      <c r="Z504" s="1"/>
      <c r="AA504" s="1"/>
    </row>
    <row r="505" spans="1:27" ht="27" hidden="1" customHeight="1">
      <c r="A505" t="s">
        <v>14</v>
      </c>
      <c r="B505" t="s">
        <v>561</v>
      </c>
      <c r="C505" t="s">
        <v>14</v>
      </c>
      <c r="D505" s="6">
        <v>0</v>
      </c>
      <c r="E505"/>
      <c r="F505"/>
      <c r="G505"/>
      <c r="H505" t="s">
        <v>616</v>
      </c>
      <c r="I505" t="s">
        <v>685</v>
      </c>
      <c r="J505" s="28">
        <v>41716</v>
      </c>
      <c r="K505" t="s">
        <v>989</v>
      </c>
      <c r="L505" t="s">
        <v>26</v>
      </c>
      <c r="M505" t="s">
        <v>630</v>
      </c>
      <c r="N505"/>
      <c r="O505"/>
      <c r="P505"/>
      <c r="Q505" t="s">
        <v>634</v>
      </c>
      <c r="R505" t="s">
        <v>636</v>
      </c>
      <c r="S505" t="s">
        <v>703</v>
      </c>
      <c r="T505"/>
      <c r="U505" s="2">
        <f>Table1[[#This Row],[Coal Power Plant Size (MW) or Share]]*0.593*9057*211.9*10^(-9)</f>
        <v>0</v>
      </c>
      <c r="V505" s="2">
        <f>Table1[[#This Row],[Annual Emissions (MMTCO2)]]*40</f>
        <v>0</v>
      </c>
      <c r="W505"/>
      <c r="X505"/>
      <c r="Y505"/>
      <c r="Z505" s="1"/>
      <c r="AA505" s="1"/>
    </row>
    <row r="506" spans="1:27" ht="27" hidden="1" customHeight="1">
      <c r="A506" t="s">
        <v>14</v>
      </c>
      <c r="B506" t="s">
        <v>561</v>
      </c>
      <c r="C506" t="s">
        <v>14</v>
      </c>
      <c r="D506" s="6">
        <v>43930000</v>
      </c>
      <c r="E506"/>
      <c r="F506"/>
      <c r="G506"/>
      <c r="H506" t="s">
        <v>616</v>
      </c>
      <c r="I506" t="s">
        <v>685</v>
      </c>
      <c r="J506" s="28">
        <v>41716</v>
      </c>
      <c r="K506" t="s">
        <v>989</v>
      </c>
      <c r="L506" t="s">
        <v>26</v>
      </c>
      <c r="M506" t="s">
        <v>630</v>
      </c>
      <c r="N506"/>
      <c r="O506"/>
      <c r="P506"/>
      <c r="Q506" t="s">
        <v>634</v>
      </c>
      <c r="R506" t="s">
        <v>636</v>
      </c>
      <c r="S506" t="s">
        <v>703</v>
      </c>
      <c r="T506"/>
      <c r="U506" s="2">
        <f>Table1[[#This Row],[Coal Power Plant Size (MW) or Share]]*0.593*9057*211.9*10^(-9)</f>
        <v>0</v>
      </c>
      <c r="V506" s="2">
        <f>Table1[[#This Row],[Annual Emissions (MMTCO2)]]*40</f>
        <v>0</v>
      </c>
      <c r="W506"/>
      <c r="X506"/>
      <c r="Y506"/>
      <c r="Z506" s="1"/>
      <c r="AA506" s="1"/>
    </row>
    <row r="507" spans="1:27" ht="27" hidden="1" customHeight="1">
      <c r="A507" t="s">
        <v>14</v>
      </c>
      <c r="B507" t="s">
        <v>1725</v>
      </c>
      <c r="C507" t="s">
        <v>126</v>
      </c>
      <c r="D507" s="6">
        <v>13820000</v>
      </c>
      <c r="E507"/>
      <c r="F507"/>
      <c r="G507"/>
      <c r="H507" t="s">
        <v>1530</v>
      </c>
      <c r="I507" t="s">
        <v>1827</v>
      </c>
      <c r="J507" s="28">
        <v>41724</v>
      </c>
      <c r="K507" t="s">
        <v>992</v>
      </c>
      <c r="L507" t="s">
        <v>111</v>
      </c>
      <c r="M507"/>
      <c r="N507"/>
      <c r="O507"/>
      <c r="P507"/>
      <c r="Q507" t="s">
        <v>634</v>
      </c>
      <c r="R507" t="s">
        <v>635</v>
      </c>
      <c r="S507" t="s">
        <v>703</v>
      </c>
      <c r="T507">
        <v>50</v>
      </c>
      <c r="U507" s="2">
        <f>Table1[[#This Row],[Coal Power Plant Size (MW) or Share]]*0.593*9057*211.9*10^(-9)</f>
        <v>5.6903636595000001E-2</v>
      </c>
      <c r="V507" s="2">
        <f>Table1[[#This Row],[Annual Emissions (MMTCO2)]]*40</f>
        <v>2.2761454637999998</v>
      </c>
      <c r="W507"/>
      <c r="X507">
        <v>50</v>
      </c>
      <c r="Y507"/>
      <c r="Z507" s="1"/>
      <c r="AA507" s="1"/>
    </row>
    <row r="508" spans="1:27" ht="27" hidden="1" customHeight="1">
      <c r="A508" t="s">
        <v>14</v>
      </c>
      <c r="B508" t="s">
        <v>1725</v>
      </c>
      <c r="C508" t="s">
        <v>126</v>
      </c>
      <c r="D508" s="6">
        <v>6910000</v>
      </c>
      <c r="E508"/>
      <c r="F508"/>
      <c r="G508"/>
      <c r="H508" t="s">
        <v>1530</v>
      </c>
      <c r="I508" t="s">
        <v>1827</v>
      </c>
      <c r="J508" s="28">
        <v>41724</v>
      </c>
      <c r="K508" t="s">
        <v>992</v>
      </c>
      <c r="L508" t="s">
        <v>111</v>
      </c>
      <c r="M508"/>
      <c r="N508"/>
      <c r="O508"/>
      <c r="P508"/>
      <c r="Q508" t="s">
        <v>634</v>
      </c>
      <c r="R508" t="s">
        <v>635</v>
      </c>
      <c r="S508" t="s">
        <v>703</v>
      </c>
      <c r="T508"/>
      <c r="U508" s="2">
        <f>Table1[[#This Row],[Coal Power Plant Size (MW) or Share]]*0.593*9057*211.9*10^(-9)</f>
        <v>0</v>
      </c>
      <c r="V508" s="2">
        <f>Table1[[#This Row],[Annual Emissions (MMTCO2)]]*40</f>
        <v>0</v>
      </c>
      <c r="W508"/>
      <c r="X508"/>
      <c r="Y508"/>
      <c r="Z508" s="1"/>
      <c r="AA508" s="1"/>
    </row>
    <row r="509" spans="1:27" ht="27" hidden="1" customHeight="1">
      <c r="A509" t="s">
        <v>14</v>
      </c>
      <c r="B509" t="s">
        <v>92</v>
      </c>
      <c r="C509" t="s">
        <v>14</v>
      </c>
      <c r="D509" s="6">
        <v>13820000</v>
      </c>
      <c r="E509"/>
      <c r="F509"/>
      <c r="G509"/>
      <c r="H509" t="s">
        <v>1530</v>
      </c>
      <c r="I509" t="s">
        <v>1827</v>
      </c>
      <c r="J509" s="28">
        <v>41724</v>
      </c>
      <c r="K509" t="s">
        <v>992</v>
      </c>
      <c r="L509" t="s">
        <v>111</v>
      </c>
      <c r="M509"/>
      <c r="N509"/>
      <c r="O509"/>
      <c r="P509"/>
      <c r="Q509" t="s">
        <v>634</v>
      </c>
      <c r="R509" t="s">
        <v>635</v>
      </c>
      <c r="S509" t="s">
        <v>703</v>
      </c>
      <c r="T509">
        <f>50/2</f>
        <v>25</v>
      </c>
      <c r="U509" s="2">
        <f>Table1[[#This Row],[Coal Power Plant Size (MW) or Share]]*0.593*9057*211.9*10^(-9)</f>
        <v>2.8451818297500001E-2</v>
      </c>
      <c r="V509" s="2">
        <f>Table1[[#This Row],[Annual Emissions (MMTCO2)]]*40</f>
        <v>1.1380727318999999</v>
      </c>
      <c r="W509"/>
      <c r="X509">
        <f>50/2</f>
        <v>25</v>
      </c>
      <c r="Y509"/>
      <c r="Z509" s="1"/>
      <c r="AA509" s="1"/>
    </row>
    <row r="510" spans="1:27" ht="27" hidden="1" customHeight="1">
      <c r="A510" t="s">
        <v>14</v>
      </c>
      <c r="B510" t="s">
        <v>92</v>
      </c>
      <c r="C510" t="s">
        <v>14</v>
      </c>
      <c r="D510" s="6">
        <v>6910000</v>
      </c>
      <c r="E510"/>
      <c r="F510"/>
      <c r="G510"/>
      <c r="H510" t="s">
        <v>1530</v>
      </c>
      <c r="I510" t="s">
        <v>1827</v>
      </c>
      <c r="J510" s="28">
        <v>41724</v>
      </c>
      <c r="K510" t="s">
        <v>992</v>
      </c>
      <c r="L510" t="s">
        <v>111</v>
      </c>
      <c r="M510"/>
      <c r="N510"/>
      <c r="O510"/>
      <c r="P510"/>
      <c r="Q510" t="s">
        <v>634</v>
      </c>
      <c r="R510" t="s">
        <v>635</v>
      </c>
      <c r="S510" t="s">
        <v>703</v>
      </c>
      <c r="T510">
        <f>50/2</f>
        <v>25</v>
      </c>
      <c r="U510" s="2">
        <f>Table1[[#This Row],[Coal Power Plant Size (MW) or Share]]*0.593*9057*211.9*10^(-9)</f>
        <v>2.8451818297500001E-2</v>
      </c>
      <c r="V510" s="2">
        <f>Table1[[#This Row],[Annual Emissions (MMTCO2)]]*40</f>
        <v>1.1380727318999999</v>
      </c>
      <c r="W510"/>
      <c r="X510">
        <f>50/2</f>
        <v>25</v>
      </c>
      <c r="Y510"/>
      <c r="Z510" s="1"/>
      <c r="AA510" s="1"/>
    </row>
    <row r="511" spans="1:27" ht="27" hidden="1" customHeight="1">
      <c r="A511" t="s">
        <v>14</v>
      </c>
      <c r="B511" t="s">
        <v>561</v>
      </c>
      <c r="C511" t="s">
        <v>14</v>
      </c>
      <c r="D511" s="6">
        <v>37500000</v>
      </c>
      <c r="E511"/>
      <c r="F511"/>
      <c r="G511"/>
      <c r="H511" t="s">
        <v>1658</v>
      </c>
      <c r="I511" t="s">
        <v>1797</v>
      </c>
      <c r="J511" s="28">
        <v>41729</v>
      </c>
      <c r="K511" t="s">
        <v>990</v>
      </c>
      <c r="L511" t="s">
        <v>20</v>
      </c>
      <c r="M511"/>
      <c r="N511"/>
      <c r="O511"/>
      <c r="P511"/>
      <c r="Q511" t="s">
        <v>634</v>
      </c>
      <c r="R511" t="s">
        <v>635</v>
      </c>
      <c r="S511" t="s">
        <v>703</v>
      </c>
      <c r="T511">
        <f>50.7/2</f>
        <v>25.35</v>
      </c>
      <c r="U511" s="2">
        <f>Table1[[#This Row],[Coal Power Plant Size (MW) or Share]]*0.593*9057*211.9*10^(-9)</f>
        <v>2.8850143753665007E-2</v>
      </c>
      <c r="V511" s="2">
        <f>Table1[[#This Row],[Annual Emissions (MMTCO2)]]*40</f>
        <v>1.1540057501466003</v>
      </c>
      <c r="W511"/>
      <c r="X511">
        <f>50.7/2</f>
        <v>25.35</v>
      </c>
      <c r="Y511"/>
      <c r="Z511" s="1"/>
      <c r="AA511" s="1"/>
    </row>
    <row r="512" spans="1:27" ht="27" hidden="1" customHeight="1">
      <c r="A512" t="s">
        <v>14</v>
      </c>
      <c r="B512" t="s">
        <v>199</v>
      </c>
      <c r="C512" t="s">
        <v>14</v>
      </c>
      <c r="D512" s="6">
        <v>808970000</v>
      </c>
      <c r="E512"/>
      <c r="F512"/>
      <c r="G512"/>
      <c r="H512" t="s">
        <v>1468</v>
      </c>
      <c r="I512" t="s">
        <v>1804</v>
      </c>
      <c r="J512" s="28">
        <v>41774</v>
      </c>
      <c r="K512" t="s">
        <v>992</v>
      </c>
      <c r="L512" t="s">
        <v>649</v>
      </c>
      <c r="M512"/>
      <c r="N512"/>
      <c r="O512"/>
      <c r="P512"/>
      <c r="Q512" t="s">
        <v>634</v>
      </c>
      <c r="R512" t="s">
        <v>1469</v>
      </c>
      <c r="S512" t="s">
        <v>703</v>
      </c>
      <c r="T512">
        <f>600/3</f>
        <v>200</v>
      </c>
      <c r="U512" s="2">
        <f>Table1[[#This Row],[Coal Power Plant Size (MW) or Share]]*0.593*9057*211.9*10^(-9)</f>
        <v>0.22761454638</v>
      </c>
      <c r="V512" s="2">
        <f>Table1[[#This Row],[Annual Emissions (MMTCO2)]]*40</f>
        <v>9.1045818551999993</v>
      </c>
      <c r="W512"/>
      <c r="X512">
        <f>600/3</f>
        <v>200</v>
      </c>
      <c r="Y512"/>
      <c r="Z512" s="1"/>
      <c r="AA512" s="1"/>
    </row>
    <row r="513" spans="1:27" ht="27" hidden="1" customHeight="1">
      <c r="A513" t="s">
        <v>14</v>
      </c>
      <c r="B513" t="s">
        <v>87</v>
      </c>
      <c r="C513" t="s">
        <v>14</v>
      </c>
      <c r="D513" s="6">
        <v>100000000</v>
      </c>
      <c r="E513" t="s">
        <v>589</v>
      </c>
      <c r="F513"/>
      <c r="G513"/>
      <c r="H513" t="s">
        <v>614</v>
      </c>
      <c r="I513" t="s">
        <v>683</v>
      </c>
      <c r="J513" s="28">
        <v>41775</v>
      </c>
      <c r="K513" t="s">
        <v>991</v>
      </c>
      <c r="L513" t="s">
        <v>67</v>
      </c>
      <c r="M513"/>
      <c r="N513"/>
      <c r="O513"/>
      <c r="P513"/>
      <c r="Q513" t="s">
        <v>634</v>
      </c>
      <c r="R513" t="s">
        <v>638</v>
      </c>
      <c r="S513" t="s">
        <v>646</v>
      </c>
      <c r="T513">
        <f>82.5/4</f>
        <v>20.625</v>
      </c>
      <c r="U513" s="2">
        <f>Table1[[#This Row],[Coal Power Plant Size (MW) or Share]]*0.593*9057*211.9*10^(-9)</f>
        <v>2.3472750095437502E-2</v>
      </c>
      <c r="V513" s="2">
        <f>Table1[[#This Row],[Annual Emissions (MMTCO2)]]*40</f>
        <v>0.93891000381750012</v>
      </c>
      <c r="W513"/>
      <c r="X513">
        <f>82.5/4</f>
        <v>20.625</v>
      </c>
      <c r="Y513"/>
      <c r="Z513" s="1"/>
      <c r="AA513" s="1"/>
    </row>
    <row r="514" spans="1:27" ht="27" hidden="1" customHeight="1">
      <c r="A514" t="s">
        <v>14</v>
      </c>
      <c r="B514" t="s">
        <v>87</v>
      </c>
      <c r="C514" t="s">
        <v>14</v>
      </c>
      <c r="D514" s="6">
        <v>250000000</v>
      </c>
      <c r="E514" t="s">
        <v>589</v>
      </c>
      <c r="F514"/>
      <c r="G514"/>
      <c r="H514" t="s">
        <v>614</v>
      </c>
      <c r="I514" t="s">
        <v>683</v>
      </c>
      <c r="J514" s="28">
        <v>41775</v>
      </c>
      <c r="K514" t="s">
        <v>991</v>
      </c>
      <c r="L514" t="s">
        <v>67</v>
      </c>
      <c r="M514"/>
      <c r="N514"/>
      <c r="O514"/>
      <c r="P514"/>
      <c r="Q514" t="s">
        <v>634</v>
      </c>
      <c r="R514" t="s">
        <v>638</v>
      </c>
      <c r="S514" t="s">
        <v>646</v>
      </c>
      <c r="T514">
        <f>82.5/4</f>
        <v>20.625</v>
      </c>
      <c r="U514" s="2">
        <f>Table1[[#This Row],[Coal Power Plant Size (MW) or Share]]*0.593*9057*211.9*10^(-9)</f>
        <v>2.3472750095437502E-2</v>
      </c>
      <c r="V514" s="2">
        <f>Table1[[#This Row],[Annual Emissions (MMTCO2)]]*40</f>
        <v>0.93891000381750012</v>
      </c>
      <c r="W514"/>
      <c r="X514">
        <f>82.5/4</f>
        <v>20.625</v>
      </c>
      <c r="Y514"/>
      <c r="Z514" s="1"/>
      <c r="AA514" s="1"/>
    </row>
    <row r="515" spans="1:27" ht="27" hidden="1" customHeight="1">
      <c r="A515" t="s">
        <v>14</v>
      </c>
      <c r="B515" t="s">
        <v>567</v>
      </c>
      <c r="C515" t="s">
        <v>14</v>
      </c>
      <c r="D515" s="6">
        <v>20000000</v>
      </c>
      <c r="E515" t="s">
        <v>589</v>
      </c>
      <c r="F515"/>
      <c r="G515"/>
      <c r="H515" t="s">
        <v>614</v>
      </c>
      <c r="I515" t="s">
        <v>683</v>
      </c>
      <c r="J515" s="28">
        <v>41775</v>
      </c>
      <c r="K515" t="s">
        <v>991</v>
      </c>
      <c r="L515" t="s">
        <v>67</v>
      </c>
      <c r="M515"/>
      <c r="N515"/>
      <c r="O515"/>
      <c r="P515"/>
      <c r="Q515" t="s">
        <v>634</v>
      </c>
      <c r="R515" t="s">
        <v>638</v>
      </c>
      <c r="S515" t="s">
        <v>646</v>
      </c>
      <c r="T515">
        <f>82.5/4</f>
        <v>20.625</v>
      </c>
      <c r="U515" s="2">
        <f>Table1[[#This Row],[Coal Power Plant Size (MW) or Share]]*0.593*9057*211.9*10^(-9)</f>
        <v>2.3472750095437502E-2</v>
      </c>
      <c r="V515" s="2">
        <f>Table1[[#This Row],[Annual Emissions (MMTCO2)]]*40</f>
        <v>0.93891000381750012</v>
      </c>
      <c r="W515"/>
      <c r="X515">
        <f>82.5/4</f>
        <v>20.625</v>
      </c>
      <c r="Y515"/>
      <c r="Z515" s="1"/>
      <c r="AA515" s="1"/>
    </row>
    <row r="516" spans="1:27" ht="27" hidden="1" customHeight="1">
      <c r="A516" t="s">
        <v>14</v>
      </c>
      <c r="B516" t="s">
        <v>92</v>
      </c>
      <c r="C516" t="s">
        <v>14</v>
      </c>
      <c r="D516" s="6">
        <v>51700000</v>
      </c>
      <c r="E516"/>
      <c r="F516"/>
      <c r="G516"/>
      <c r="H516" t="s">
        <v>1701</v>
      </c>
      <c r="I516" t="s">
        <v>1824</v>
      </c>
      <c r="J516" s="28">
        <v>41794</v>
      </c>
      <c r="K516" t="s">
        <v>992</v>
      </c>
      <c r="L516" t="s">
        <v>111</v>
      </c>
      <c r="M516"/>
      <c r="N516"/>
      <c r="O516"/>
      <c r="P516"/>
      <c r="Q516" t="s">
        <v>634</v>
      </c>
      <c r="R516" t="s">
        <v>636</v>
      </c>
      <c r="S516" t="s">
        <v>703</v>
      </c>
      <c r="T516">
        <v>84</v>
      </c>
      <c r="U516" s="2">
        <f>Table1[[#This Row],[Coal Power Plant Size (MW) or Share]]*0.593*9057*211.9*10^(-9)</f>
        <v>9.5598109479599999E-2</v>
      </c>
      <c r="V516" s="2">
        <f>Table1[[#This Row],[Annual Emissions (MMTCO2)]]*40</f>
        <v>3.8239243791840001</v>
      </c>
      <c r="W516"/>
      <c r="X516">
        <v>84</v>
      </c>
      <c r="Y516"/>
      <c r="Z516" s="1"/>
      <c r="AA516" s="1"/>
    </row>
    <row r="517" spans="1:27" ht="27" hidden="1" customHeight="1">
      <c r="A517" t="s">
        <v>14</v>
      </c>
      <c r="B517" t="s">
        <v>92</v>
      </c>
      <c r="C517" t="s">
        <v>14</v>
      </c>
      <c r="D517" s="6">
        <v>67300000</v>
      </c>
      <c r="E517"/>
      <c r="F517"/>
      <c r="G517"/>
      <c r="H517" t="s">
        <v>1521</v>
      </c>
      <c r="I517" t="s">
        <v>1813</v>
      </c>
      <c r="J517" s="28">
        <v>41801</v>
      </c>
      <c r="K517" t="s">
        <v>992</v>
      </c>
      <c r="L517" t="s">
        <v>111</v>
      </c>
      <c r="M517"/>
      <c r="N517"/>
      <c r="O517"/>
      <c r="P517"/>
      <c r="Q517" t="s">
        <v>634</v>
      </c>
      <c r="R517" t="s">
        <v>636</v>
      </c>
      <c r="S517" t="s">
        <v>703</v>
      </c>
      <c r="T517">
        <v>108</v>
      </c>
      <c r="U517" s="2">
        <f>Table1[[#This Row],[Coal Power Plant Size (MW) or Share]]*0.593*9057*211.9*10^(-9)</f>
        <v>0.1229118550452</v>
      </c>
      <c r="V517" s="2">
        <f>Table1[[#This Row],[Annual Emissions (MMTCO2)]]*40</f>
        <v>4.9164742018079997</v>
      </c>
      <c r="W517"/>
      <c r="X517">
        <v>108</v>
      </c>
      <c r="Y517"/>
      <c r="Z517" s="1"/>
      <c r="AA517" s="1"/>
    </row>
    <row r="518" spans="1:27" ht="27" hidden="1" customHeight="1">
      <c r="A518" t="s">
        <v>14</v>
      </c>
      <c r="B518" t="s">
        <v>199</v>
      </c>
      <c r="C518" t="s">
        <v>14</v>
      </c>
      <c r="D518" s="6">
        <v>204270000</v>
      </c>
      <c r="E518"/>
      <c r="F518"/>
      <c r="G518"/>
      <c r="H518" t="s">
        <v>1601</v>
      </c>
      <c r="I518" t="s">
        <v>1870</v>
      </c>
      <c r="J518" s="28">
        <v>41819</v>
      </c>
      <c r="K518" t="s">
        <v>993</v>
      </c>
      <c r="L518" t="s">
        <v>225</v>
      </c>
      <c r="M518"/>
      <c r="N518"/>
      <c r="O518"/>
      <c r="P518"/>
      <c r="Q518" t="s">
        <v>634</v>
      </c>
      <c r="R518" t="s">
        <v>1474</v>
      </c>
      <c r="S518" t="s">
        <v>703</v>
      </c>
      <c r="T518">
        <v>121</v>
      </c>
      <c r="U518" s="2">
        <f>Table1[[#This Row],[Coal Power Plant Size (MW) or Share]]*0.593*9057*211.9*10^(-9)</f>
        <v>0.13770680055990001</v>
      </c>
      <c r="V518" s="2">
        <f>Table1[[#This Row],[Annual Emissions (MMTCO2)]]*40</f>
        <v>5.5082720223960004</v>
      </c>
      <c r="W518"/>
      <c r="X518">
        <v>121</v>
      </c>
      <c r="Y518"/>
      <c r="Z518" s="1"/>
      <c r="AA518" s="1"/>
    </row>
    <row r="519" spans="1:27" ht="27" hidden="1" customHeight="1">
      <c r="A519" t="s">
        <v>14</v>
      </c>
      <c r="B519" t="s">
        <v>199</v>
      </c>
      <c r="C519" t="s">
        <v>14</v>
      </c>
      <c r="D519" s="6">
        <v>205000000</v>
      </c>
      <c r="E519"/>
      <c r="F519"/>
      <c r="G519"/>
      <c r="H519" t="s">
        <v>1501</v>
      </c>
      <c r="I519" t="s">
        <v>1770</v>
      </c>
      <c r="J519" s="28">
        <v>41820</v>
      </c>
      <c r="K519" t="s">
        <v>993</v>
      </c>
      <c r="L519" t="s">
        <v>225</v>
      </c>
      <c r="M519"/>
      <c r="N519"/>
      <c r="O519"/>
      <c r="P519"/>
      <c r="Q519" t="s">
        <v>634</v>
      </c>
      <c r="R519" t="s">
        <v>1474</v>
      </c>
      <c r="S519" t="s">
        <v>703</v>
      </c>
      <c r="T519">
        <v>121</v>
      </c>
      <c r="U519" s="2">
        <f>Table1[[#This Row],[Coal Power Plant Size (MW) or Share]]*0.593*9057*211.9*10^(-9)</f>
        <v>0.13770680055990001</v>
      </c>
      <c r="V519" s="2">
        <f>Table1[[#This Row],[Annual Emissions (MMTCO2)]]*40</f>
        <v>5.5082720223960004</v>
      </c>
      <c r="W519"/>
      <c r="X519">
        <v>121</v>
      </c>
      <c r="Y519"/>
      <c r="Z519" s="1"/>
      <c r="AA519" s="1"/>
    </row>
    <row r="520" spans="1:27" ht="27" hidden="1" customHeight="1">
      <c r="A520" t="s">
        <v>14</v>
      </c>
      <c r="B520" t="s">
        <v>199</v>
      </c>
      <c r="C520" t="s">
        <v>14</v>
      </c>
      <c r="D520" s="6">
        <v>95060000</v>
      </c>
      <c r="E520"/>
      <c r="F520"/>
      <c r="G520"/>
      <c r="H520" t="s">
        <v>1690</v>
      </c>
      <c r="I520" t="s">
        <v>1833</v>
      </c>
      <c r="J520" s="28">
        <v>41851</v>
      </c>
      <c r="K520" t="s">
        <v>992</v>
      </c>
      <c r="L520" t="s">
        <v>112</v>
      </c>
      <c r="M520"/>
      <c r="N520"/>
      <c r="O520"/>
      <c r="P520"/>
      <c r="Q520" t="s">
        <v>634</v>
      </c>
      <c r="R520" t="s">
        <v>1691</v>
      </c>
      <c r="S520" t="s">
        <v>703</v>
      </c>
      <c r="T520"/>
      <c r="U520" s="2">
        <f>Table1[[#This Row],[Coal Power Plant Size (MW) or Share]]*0.593*9057*211.9*10^(-9)</f>
        <v>0</v>
      </c>
      <c r="V520" s="2">
        <f>Table1[[#This Row],[Annual Emissions (MMTCO2)]]*40</f>
        <v>0</v>
      </c>
      <c r="W520"/>
      <c r="X520"/>
      <c r="Y520"/>
      <c r="Z520" s="1"/>
      <c r="AA520" s="1"/>
    </row>
    <row r="521" spans="1:27" ht="27" hidden="1" customHeight="1">
      <c r="A521" t="s">
        <v>14</v>
      </c>
      <c r="B521" t="s">
        <v>561</v>
      </c>
      <c r="C521" t="s">
        <v>14</v>
      </c>
      <c r="D521" s="6">
        <v>200000000</v>
      </c>
      <c r="E521"/>
      <c r="F521"/>
      <c r="G521"/>
      <c r="H521" t="s">
        <v>1534</v>
      </c>
      <c r="I521" t="s">
        <v>1792</v>
      </c>
      <c r="J521" s="28">
        <v>41857</v>
      </c>
      <c r="K521" t="s">
        <v>990</v>
      </c>
      <c r="L521" t="s">
        <v>25</v>
      </c>
      <c r="M521" t="s">
        <v>1535</v>
      </c>
      <c r="N521"/>
      <c r="O521"/>
      <c r="P521"/>
      <c r="Q521" t="s">
        <v>634</v>
      </c>
      <c r="R521" t="s">
        <v>636</v>
      </c>
      <c r="S521" t="s">
        <v>703</v>
      </c>
      <c r="T521">
        <v>342</v>
      </c>
      <c r="U521" s="2">
        <f>Table1[[#This Row],[Coal Power Plant Size (MW) or Share]]*0.593*9057*211.9*10^(-9)</f>
        <v>0.38922087430980001</v>
      </c>
      <c r="V521" s="2">
        <f>Table1[[#This Row],[Annual Emissions (MMTCO2)]]*40</f>
        <v>15.568834972392001</v>
      </c>
      <c r="W521"/>
      <c r="X521">
        <v>342</v>
      </c>
      <c r="Y521"/>
      <c r="Z521" s="1"/>
      <c r="AA521" s="1"/>
    </row>
    <row r="522" spans="1:27" ht="27" hidden="1" customHeight="1">
      <c r="A522" t="s">
        <v>14</v>
      </c>
      <c r="B522" t="s">
        <v>561</v>
      </c>
      <c r="C522" t="s">
        <v>14</v>
      </c>
      <c r="D522" s="6">
        <v>24830000</v>
      </c>
      <c r="E522"/>
      <c r="F522"/>
      <c r="G522"/>
      <c r="H522" t="s">
        <v>1656</v>
      </c>
      <c r="I522" t="s">
        <v>1848</v>
      </c>
      <c r="J522" s="28">
        <v>41886</v>
      </c>
      <c r="K522" t="s">
        <v>992</v>
      </c>
      <c r="L522" t="s">
        <v>435</v>
      </c>
      <c r="M522"/>
      <c r="N522"/>
      <c r="O522"/>
      <c r="P522"/>
      <c r="Q522" t="s">
        <v>634</v>
      </c>
      <c r="R522" t="s">
        <v>636</v>
      </c>
      <c r="S522" t="s">
        <v>703</v>
      </c>
      <c r="T522">
        <v>34.200000000000003</v>
      </c>
      <c r="U522" s="2">
        <f>Table1[[#This Row],[Coal Power Plant Size (MW) or Share]]*0.593*9057*211.9*10^(-9)</f>
        <v>3.892208743098001E-2</v>
      </c>
      <c r="V522" s="2">
        <f>Table1[[#This Row],[Annual Emissions (MMTCO2)]]*40</f>
        <v>1.5568834972392005</v>
      </c>
      <c r="W522"/>
      <c r="X522">
        <v>34.200000000000003</v>
      </c>
      <c r="Y522"/>
      <c r="Z522" s="1"/>
      <c r="AA522" s="1"/>
    </row>
    <row r="523" spans="1:27" ht="27" hidden="1" customHeight="1">
      <c r="A523" t="s">
        <v>14</v>
      </c>
      <c r="B523" t="s">
        <v>87</v>
      </c>
      <c r="C523" t="s">
        <v>14</v>
      </c>
      <c r="D523" s="6">
        <v>16670000.000000002</v>
      </c>
      <c r="E523" t="s">
        <v>574</v>
      </c>
      <c r="F523"/>
      <c r="G523"/>
      <c r="H523" t="s">
        <v>611</v>
      </c>
      <c r="I523" t="s">
        <v>680</v>
      </c>
      <c r="J523" s="28">
        <v>41904</v>
      </c>
      <c r="K523" t="s">
        <v>991</v>
      </c>
      <c r="L523" t="s">
        <v>67</v>
      </c>
      <c r="M523"/>
      <c r="N523"/>
      <c r="O523"/>
      <c r="P523"/>
      <c r="Q523" t="s">
        <v>634</v>
      </c>
      <c r="R523" t="s">
        <v>638</v>
      </c>
      <c r="S523" t="s">
        <v>646</v>
      </c>
      <c r="T523">
        <v>110</v>
      </c>
      <c r="U523" s="2">
        <f>Table1[[#This Row],[Coal Power Plant Size (MW) or Share]]*0.593*9057*211.9*10^(-9)</f>
        <v>0.12518800050899997</v>
      </c>
      <c r="V523" s="2">
        <f>Table1[[#This Row],[Annual Emissions (MMTCO2)]]*40</f>
        <v>5.0075200203599994</v>
      </c>
      <c r="W523"/>
      <c r="X523">
        <v>110</v>
      </c>
      <c r="Y523"/>
      <c r="Z523" s="1"/>
      <c r="AA523" s="1"/>
    </row>
    <row r="524" spans="1:27" ht="27" hidden="1" customHeight="1">
      <c r="A524" t="s">
        <v>14</v>
      </c>
      <c r="B524" t="s">
        <v>561</v>
      </c>
      <c r="C524" t="s">
        <v>14</v>
      </c>
      <c r="D524" s="6">
        <v>60000000</v>
      </c>
      <c r="E524"/>
      <c r="F524"/>
      <c r="G524"/>
      <c r="H524" t="s">
        <v>1592</v>
      </c>
      <c r="I524" t="s">
        <v>1821</v>
      </c>
      <c r="J524" s="28">
        <v>41906</v>
      </c>
      <c r="K524" t="s">
        <v>990</v>
      </c>
      <c r="L524" t="s">
        <v>20</v>
      </c>
      <c r="M524"/>
      <c r="N524"/>
      <c r="O524"/>
      <c r="P524"/>
      <c r="Q524" t="s">
        <v>634</v>
      </c>
      <c r="R524" t="s">
        <v>635</v>
      </c>
      <c r="S524" t="s">
        <v>703</v>
      </c>
      <c r="T524">
        <f>141/2</f>
        <v>70.5</v>
      </c>
      <c r="U524" s="2">
        <f>Table1[[#This Row],[Coal Power Plant Size (MW) or Share]]*0.593*9057*211.9*10^(-9)</f>
        <v>8.0234127598950003E-2</v>
      </c>
      <c r="V524" s="2">
        <f>Table1[[#This Row],[Annual Emissions (MMTCO2)]]*40</f>
        <v>3.209365103958</v>
      </c>
      <c r="W524"/>
      <c r="X524">
        <f>141/2</f>
        <v>70.5</v>
      </c>
      <c r="Y524"/>
      <c r="Z524" s="1"/>
      <c r="AA524" s="1"/>
    </row>
    <row r="525" spans="1:27" ht="27" hidden="1" customHeight="1">
      <c r="A525" t="s">
        <v>14</v>
      </c>
      <c r="B525" t="s">
        <v>561</v>
      </c>
      <c r="C525" t="s">
        <v>14</v>
      </c>
      <c r="D525" s="6">
        <v>7500000</v>
      </c>
      <c r="E525"/>
      <c r="F525"/>
      <c r="G525"/>
      <c r="H525" t="s">
        <v>1666</v>
      </c>
      <c r="I525" t="s">
        <v>1828</v>
      </c>
      <c r="J525" s="28">
        <v>41913</v>
      </c>
      <c r="K525" t="s">
        <v>993</v>
      </c>
      <c r="L525" t="s">
        <v>1478</v>
      </c>
      <c r="M525"/>
      <c r="N525"/>
      <c r="O525"/>
      <c r="P525"/>
      <c r="Q525" t="s">
        <v>634</v>
      </c>
      <c r="R525" t="s">
        <v>635</v>
      </c>
      <c r="S525" t="s">
        <v>703</v>
      </c>
      <c r="T525">
        <v>10</v>
      </c>
      <c r="U525" s="2">
        <f>Table1[[#This Row],[Coal Power Plant Size (MW) or Share]]*0.593*9057*211.9*10^(-9)</f>
        <v>1.1380727318999998E-2</v>
      </c>
      <c r="V525" s="2">
        <f>Table1[[#This Row],[Annual Emissions (MMTCO2)]]*40</f>
        <v>0.45522909275999995</v>
      </c>
      <c r="W525"/>
      <c r="X525">
        <v>10</v>
      </c>
      <c r="Y525"/>
      <c r="Z525" s="1"/>
      <c r="AA525" s="1"/>
    </row>
    <row r="526" spans="1:27" ht="27" hidden="1" customHeight="1">
      <c r="A526" t="s">
        <v>14</v>
      </c>
      <c r="B526" t="s">
        <v>92</v>
      </c>
      <c r="C526" t="s">
        <v>14</v>
      </c>
      <c r="D526" s="6">
        <v>24000000</v>
      </c>
      <c r="E526"/>
      <c r="F526"/>
      <c r="G526"/>
      <c r="H526" t="s">
        <v>1531</v>
      </c>
      <c r="I526" t="s">
        <v>1839</v>
      </c>
      <c r="J526" s="28">
        <v>41953</v>
      </c>
      <c r="K526" t="s">
        <v>993</v>
      </c>
      <c r="L526" t="s">
        <v>1478</v>
      </c>
      <c r="M526"/>
      <c r="N526"/>
      <c r="O526"/>
      <c r="P526"/>
      <c r="Q526" t="s">
        <v>634</v>
      </c>
      <c r="R526" t="s">
        <v>635</v>
      </c>
      <c r="S526" t="s">
        <v>703</v>
      </c>
      <c r="T526">
        <v>20</v>
      </c>
      <c r="U526" s="2">
        <f>Table1[[#This Row],[Coal Power Plant Size (MW) or Share]]*0.593*9057*211.9*10^(-9)</f>
        <v>2.2761454637999997E-2</v>
      </c>
      <c r="V526" s="2">
        <f>Table1[[#This Row],[Annual Emissions (MMTCO2)]]*40</f>
        <v>0.91045818551999991</v>
      </c>
      <c r="W526"/>
      <c r="X526">
        <v>20</v>
      </c>
      <c r="Y526"/>
      <c r="Z526" s="1"/>
      <c r="AA526" s="1"/>
    </row>
    <row r="527" spans="1:27" ht="27" hidden="1" customHeight="1">
      <c r="A527" t="s">
        <v>14</v>
      </c>
      <c r="B527" t="s">
        <v>92</v>
      </c>
      <c r="C527" t="s">
        <v>14</v>
      </c>
      <c r="D527" s="6">
        <v>13000000</v>
      </c>
      <c r="E527"/>
      <c r="F527"/>
      <c r="G527"/>
      <c r="H527" t="s">
        <v>1548</v>
      </c>
      <c r="I527" t="s">
        <v>1837</v>
      </c>
      <c r="J527" s="28">
        <v>41953</v>
      </c>
      <c r="K527" t="s">
        <v>993</v>
      </c>
      <c r="L527" t="s">
        <v>1478</v>
      </c>
      <c r="M527"/>
      <c r="N527"/>
      <c r="O527"/>
      <c r="P527"/>
      <c r="Q527" t="s">
        <v>634</v>
      </c>
      <c r="R527" t="s">
        <v>635</v>
      </c>
      <c r="S527" t="s">
        <v>703</v>
      </c>
      <c r="T527">
        <v>10</v>
      </c>
      <c r="U527" s="2">
        <f>Table1[[#This Row],[Coal Power Plant Size (MW) or Share]]*0.593*9057*211.9*10^(-9)</f>
        <v>1.1380727318999998E-2</v>
      </c>
      <c r="V527" s="2">
        <f>Table1[[#This Row],[Annual Emissions (MMTCO2)]]*40</f>
        <v>0.45522909275999995</v>
      </c>
      <c r="W527"/>
      <c r="X527">
        <v>10</v>
      </c>
      <c r="Y527"/>
      <c r="Z527" s="1"/>
      <c r="AA527" s="1"/>
    </row>
    <row r="528" spans="1:27" ht="27" hidden="1" customHeight="1">
      <c r="A528" t="s">
        <v>14</v>
      </c>
      <c r="B528" t="s">
        <v>92</v>
      </c>
      <c r="C528" t="s">
        <v>14</v>
      </c>
      <c r="D528" s="6">
        <v>13000000</v>
      </c>
      <c r="E528"/>
      <c r="F528"/>
      <c r="G528"/>
      <c r="H528" t="s">
        <v>1628</v>
      </c>
      <c r="I528" t="s">
        <v>1836</v>
      </c>
      <c r="J528" s="28">
        <v>41953</v>
      </c>
      <c r="K528" t="s">
        <v>993</v>
      </c>
      <c r="L528" t="s">
        <v>1478</v>
      </c>
      <c r="M528"/>
      <c r="N528"/>
      <c r="O528"/>
      <c r="P528"/>
      <c r="Q528" t="s">
        <v>634</v>
      </c>
      <c r="R528" t="s">
        <v>635</v>
      </c>
      <c r="S528" t="s">
        <v>703</v>
      </c>
      <c r="T528">
        <v>10</v>
      </c>
      <c r="U528" s="2">
        <f>Table1[[#This Row],[Coal Power Plant Size (MW) or Share]]*0.593*9057*211.9*10^(-9)</f>
        <v>1.1380727318999998E-2</v>
      </c>
      <c r="V528" s="2">
        <f>Table1[[#This Row],[Annual Emissions (MMTCO2)]]*40</f>
        <v>0.45522909275999995</v>
      </c>
      <c r="W528"/>
      <c r="X528">
        <v>10</v>
      </c>
      <c r="Y528"/>
      <c r="Z528" s="1"/>
      <c r="AA528" s="1"/>
    </row>
    <row r="529" spans="1:27" ht="27" hidden="1" customHeight="1">
      <c r="A529" t="s">
        <v>14</v>
      </c>
      <c r="B529" t="s">
        <v>92</v>
      </c>
      <c r="C529" t="s">
        <v>14</v>
      </c>
      <c r="D529" s="6">
        <v>42910000</v>
      </c>
      <c r="E529"/>
      <c r="F529"/>
      <c r="G529"/>
      <c r="H529" t="s">
        <v>1673</v>
      </c>
      <c r="I529" t="s">
        <v>1873</v>
      </c>
      <c r="J529" s="28">
        <v>41970</v>
      </c>
      <c r="K529" t="s">
        <v>992</v>
      </c>
      <c r="L529" t="s">
        <v>112</v>
      </c>
      <c r="M529"/>
      <c r="N529"/>
      <c r="O529"/>
      <c r="P529"/>
      <c r="Q529" t="s">
        <v>634</v>
      </c>
      <c r="R529" t="s">
        <v>636</v>
      </c>
      <c r="S529" t="s">
        <v>703</v>
      </c>
      <c r="T529">
        <v>36.799999999999997</v>
      </c>
      <c r="U529" s="2">
        <f>Table1[[#This Row],[Coal Power Plant Size (MW) or Share]]*0.593*9057*211.9*10^(-9)</f>
        <v>4.1881076533920002E-2</v>
      </c>
      <c r="V529" s="2">
        <f>Table1[[#This Row],[Annual Emissions (MMTCO2)]]*40</f>
        <v>1.6752430613568001</v>
      </c>
      <c r="W529"/>
      <c r="X529">
        <v>36.799999999999997</v>
      </c>
      <c r="Y529"/>
      <c r="Z529" s="1"/>
      <c r="AA529" s="1"/>
    </row>
    <row r="530" spans="1:27" ht="27" hidden="1" customHeight="1">
      <c r="A530" t="s">
        <v>14</v>
      </c>
      <c r="B530" t="s">
        <v>28</v>
      </c>
      <c r="C530" t="s">
        <v>14</v>
      </c>
      <c r="D530" s="6">
        <v>6200000</v>
      </c>
      <c r="E530"/>
      <c r="F530"/>
      <c r="G530"/>
      <c r="H530" t="s">
        <v>1581</v>
      </c>
      <c r="I530" t="s">
        <v>1765</v>
      </c>
      <c r="J530" s="28">
        <v>41982</v>
      </c>
      <c r="K530" t="s">
        <v>1482</v>
      </c>
      <c r="L530" t="s">
        <v>705</v>
      </c>
      <c r="M530"/>
      <c r="N530"/>
      <c r="O530"/>
      <c r="P530"/>
      <c r="Q530" t="s">
        <v>634</v>
      </c>
      <c r="R530" t="s">
        <v>636</v>
      </c>
      <c r="S530" t="s">
        <v>703</v>
      </c>
      <c r="T530">
        <f>300/4</f>
        <v>75</v>
      </c>
      <c r="U530" s="2">
        <f>Table1[[#This Row],[Coal Power Plant Size (MW) or Share]]*0.593*9057*211.9*10^(-9)</f>
        <v>8.5355454892500002E-2</v>
      </c>
      <c r="V530" s="2">
        <f>Table1[[#This Row],[Annual Emissions (MMTCO2)]]*40</f>
        <v>3.4142181957000002</v>
      </c>
      <c r="W530"/>
      <c r="X530">
        <f>300/4</f>
        <v>75</v>
      </c>
      <c r="Y530"/>
      <c r="Z530" s="1"/>
      <c r="AA530" s="1"/>
    </row>
    <row r="531" spans="1:27" ht="27" hidden="1" customHeight="1">
      <c r="A531" t="s">
        <v>14</v>
      </c>
      <c r="B531" t="s">
        <v>28</v>
      </c>
      <c r="C531" t="s">
        <v>14</v>
      </c>
      <c r="D531" s="6">
        <v>167540000</v>
      </c>
      <c r="E531"/>
      <c r="F531"/>
      <c r="G531"/>
      <c r="H531" t="s">
        <v>1581</v>
      </c>
      <c r="I531" t="s">
        <v>1765</v>
      </c>
      <c r="J531" s="28">
        <v>41982</v>
      </c>
      <c r="K531" t="s">
        <v>1482</v>
      </c>
      <c r="L531" t="s">
        <v>705</v>
      </c>
      <c r="M531"/>
      <c r="N531"/>
      <c r="O531"/>
      <c r="P531"/>
      <c r="Q531" t="s">
        <v>634</v>
      </c>
      <c r="R531" t="s">
        <v>636</v>
      </c>
      <c r="S531" t="s">
        <v>703</v>
      </c>
      <c r="T531">
        <f>300/4</f>
        <v>75</v>
      </c>
      <c r="U531" s="2">
        <f>Table1[[#This Row],[Coal Power Plant Size (MW) or Share]]*0.593*9057*211.9*10^(-9)</f>
        <v>8.5355454892500002E-2</v>
      </c>
      <c r="V531" s="2">
        <f>Table1[[#This Row],[Annual Emissions (MMTCO2)]]*40</f>
        <v>3.4142181957000002</v>
      </c>
      <c r="W531"/>
      <c r="X531">
        <f>300/4</f>
        <v>75</v>
      </c>
      <c r="Y531"/>
      <c r="Z531" s="1"/>
      <c r="AA531" s="1"/>
    </row>
    <row r="532" spans="1:27" ht="27" hidden="1" customHeight="1">
      <c r="A532" t="s">
        <v>14</v>
      </c>
      <c r="B532" t="s">
        <v>199</v>
      </c>
      <c r="C532" t="s">
        <v>14</v>
      </c>
      <c r="D532" s="6">
        <v>248200000</v>
      </c>
      <c r="E532"/>
      <c r="F532"/>
      <c r="G532"/>
      <c r="H532" t="s">
        <v>1581</v>
      </c>
      <c r="I532" t="s">
        <v>1765</v>
      </c>
      <c r="J532" s="28">
        <v>41982</v>
      </c>
      <c r="K532" t="s">
        <v>1482</v>
      </c>
      <c r="L532" t="s">
        <v>705</v>
      </c>
      <c r="M532"/>
      <c r="N532"/>
      <c r="O532"/>
      <c r="P532"/>
      <c r="Q532" t="s">
        <v>634</v>
      </c>
      <c r="R532" t="s">
        <v>636</v>
      </c>
      <c r="S532" t="s">
        <v>703</v>
      </c>
      <c r="T532">
        <f>300/4</f>
        <v>75</v>
      </c>
      <c r="U532" s="2">
        <f>Table1[[#This Row],[Coal Power Plant Size (MW) or Share]]*0.593*9057*211.9*10^(-9)</f>
        <v>8.5355454892500002E-2</v>
      </c>
      <c r="V532" s="2">
        <f>Table1[[#This Row],[Annual Emissions (MMTCO2)]]*40</f>
        <v>3.4142181957000002</v>
      </c>
      <c r="W532"/>
      <c r="X532">
        <f>300/4</f>
        <v>75</v>
      </c>
      <c r="Y532"/>
      <c r="Z532" s="1"/>
      <c r="AA532" s="1"/>
    </row>
    <row r="533" spans="1:27" ht="27" hidden="1" customHeight="1">
      <c r="A533" t="s">
        <v>14</v>
      </c>
      <c r="B533" t="s">
        <v>561</v>
      </c>
      <c r="C533" t="s">
        <v>14</v>
      </c>
      <c r="D533" s="6">
        <v>20000000</v>
      </c>
      <c r="E533"/>
      <c r="F533"/>
      <c r="G533"/>
      <c r="H533" t="s">
        <v>1632</v>
      </c>
      <c r="I533" t="s">
        <v>1843</v>
      </c>
      <c r="J533" s="28">
        <v>41989</v>
      </c>
      <c r="K533" t="s">
        <v>990</v>
      </c>
      <c r="L533" t="s">
        <v>1503</v>
      </c>
      <c r="M533"/>
      <c r="N533"/>
      <c r="O533"/>
      <c r="P533"/>
      <c r="Q533" t="s">
        <v>634</v>
      </c>
      <c r="R533" t="s">
        <v>635</v>
      </c>
      <c r="S533" t="s">
        <v>703</v>
      </c>
      <c r="T533">
        <f>81.7/2</f>
        <v>40.85</v>
      </c>
      <c r="U533" s="2">
        <f>Table1[[#This Row],[Coal Power Plant Size (MW) or Share]]*0.593*9057*211.9*10^(-9)</f>
        <v>4.6490271098115002E-2</v>
      </c>
      <c r="V533" s="2">
        <f>Table1[[#This Row],[Annual Emissions (MMTCO2)]]*40</f>
        <v>1.8596108439246</v>
      </c>
      <c r="W533"/>
      <c r="X533">
        <f>81.7/2</f>
        <v>40.85</v>
      </c>
      <c r="Y533"/>
      <c r="Z533" s="1"/>
      <c r="AA533" s="1"/>
    </row>
    <row r="534" spans="1:27" ht="27" hidden="1" customHeight="1">
      <c r="A534" t="s">
        <v>14</v>
      </c>
      <c r="B534" t="s">
        <v>561</v>
      </c>
      <c r="C534" t="s">
        <v>14</v>
      </c>
      <c r="D534" s="6">
        <v>65500000</v>
      </c>
      <c r="E534"/>
      <c r="F534"/>
      <c r="G534"/>
      <c r="H534" t="s">
        <v>1632</v>
      </c>
      <c r="I534" t="s">
        <v>1843</v>
      </c>
      <c r="J534" s="28">
        <v>41989</v>
      </c>
      <c r="K534" t="s">
        <v>990</v>
      </c>
      <c r="L534" t="s">
        <v>1503</v>
      </c>
      <c r="M534"/>
      <c r="N534"/>
      <c r="O534"/>
      <c r="P534"/>
      <c r="Q534" t="s">
        <v>634</v>
      </c>
      <c r="R534" t="s">
        <v>635</v>
      </c>
      <c r="S534" t="s">
        <v>703</v>
      </c>
      <c r="T534">
        <f>81.7/2</f>
        <v>40.85</v>
      </c>
      <c r="U534" s="2">
        <f>Table1[[#This Row],[Coal Power Plant Size (MW) or Share]]*0.593*9057*211.9*10^(-9)</f>
        <v>4.6490271098115002E-2</v>
      </c>
      <c r="V534" s="2">
        <f>Table1[[#This Row],[Annual Emissions (MMTCO2)]]*40</f>
        <v>1.8596108439246</v>
      </c>
      <c r="W534"/>
      <c r="X534">
        <f>81.7/2</f>
        <v>40.85</v>
      </c>
      <c r="Y534"/>
      <c r="Z534" s="1"/>
      <c r="AA534" s="1"/>
    </row>
    <row r="535" spans="1:27" ht="27" hidden="1" customHeight="1">
      <c r="A535" t="s">
        <v>14</v>
      </c>
      <c r="B535" t="s">
        <v>561</v>
      </c>
      <c r="C535" t="s">
        <v>14</v>
      </c>
      <c r="D535" s="6">
        <v>80000000</v>
      </c>
      <c r="E535"/>
      <c r="F535"/>
      <c r="G535"/>
      <c r="H535" t="s">
        <v>1637</v>
      </c>
      <c r="I535" t="s">
        <v>1802</v>
      </c>
      <c r="J535" s="28">
        <v>42002</v>
      </c>
      <c r="K535" t="s">
        <v>990</v>
      </c>
      <c r="L535" t="s">
        <v>1488</v>
      </c>
      <c r="M535"/>
      <c r="N535"/>
      <c r="O535"/>
      <c r="P535"/>
      <c r="Q535" t="s">
        <v>634</v>
      </c>
      <c r="R535" t="s">
        <v>636</v>
      </c>
      <c r="S535" t="s">
        <v>703</v>
      </c>
      <c r="T535">
        <f>215/3</f>
        <v>71.666666666666671</v>
      </c>
      <c r="U535" s="2">
        <f>Table1[[#This Row],[Coal Power Plant Size (MW) or Share]]*0.593*9057*211.9*10^(-9)</f>
        <v>8.1561879119500011E-2</v>
      </c>
      <c r="V535" s="2">
        <f>Table1[[#This Row],[Annual Emissions (MMTCO2)]]*40</f>
        <v>3.2624751647800005</v>
      </c>
      <c r="W535"/>
      <c r="X535">
        <f>215/3</f>
        <v>71.666666666666671</v>
      </c>
      <c r="Y535"/>
      <c r="Z535" s="1"/>
      <c r="AA535" s="1"/>
    </row>
    <row r="536" spans="1:27" ht="27" hidden="1" customHeight="1">
      <c r="A536" t="s">
        <v>14</v>
      </c>
      <c r="B536" t="s">
        <v>561</v>
      </c>
      <c r="C536" t="s">
        <v>14</v>
      </c>
      <c r="D536" s="6">
        <v>16000000</v>
      </c>
      <c r="E536"/>
      <c r="F536"/>
      <c r="G536"/>
      <c r="H536" t="s">
        <v>1637</v>
      </c>
      <c r="I536" t="s">
        <v>1802</v>
      </c>
      <c r="J536" s="28">
        <v>42002</v>
      </c>
      <c r="K536" t="s">
        <v>990</v>
      </c>
      <c r="L536" t="s">
        <v>1488</v>
      </c>
      <c r="M536"/>
      <c r="N536"/>
      <c r="O536"/>
      <c r="P536"/>
      <c r="Q536" t="s">
        <v>634</v>
      </c>
      <c r="R536" t="s">
        <v>636</v>
      </c>
      <c r="S536" t="s">
        <v>703</v>
      </c>
      <c r="T536">
        <f>215/3</f>
        <v>71.666666666666671</v>
      </c>
      <c r="U536" s="2">
        <f>Table1[[#This Row],[Coal Power Plant Size (MW) or Share]]*0.593*9057*211.9*10^(-9)</f>
        <v>8.1561879119500011E-2</v>
      </c>
      <c r="V536" s="2">
        <f>Table1[[#This Row],[Annual Emissions (MMTCO2)]]*40</f>
        <v>3.2624751647800005</v>
      </c>
      <c r="W536"/>
      <c r="X536">
        <f>215/3</f>
        <v>71.666666666666671</v>
      </c>
      <c r="Y536"/>
      <c r="Z536" s="1"/>
      <c r="AA536" s="1"/>
    </row>
    <row r="537" spans="1:27" ht="27" hidden="1" customHeight="1">
      <c r="A537" t="s">
        <v>14</v>
      </c>
      <c r="B537" t="s">
        <v>561</v>
      </c>
      <c r="C537" t="s">
        <v>14</v>
      </c>
      <c r="D537" s="6">
        <v>60000000</v>
      </c>
      <c r="E537"/>
      <c r="F537"/>
      <c r="G537"/>
      <c r="H537" t="s">
        <v>1637</v>
      </c>
      <c r="I537" t="s">
        <v>1802</v>
      </c>
      <c r="J537" s="28">
        <v>42002</v>
      </c>
      <c r="K537" t="s">
        <v>990</v>
      </c>
      <c r="L537" t="s">
        <v>1488</v>
      </c>
      <c r="M537"/>
      <c r="N537"/>
      <c r="O537"/>
      <c r="P537"/>
      <c r="Q537" t="s">
        <v>634</v>
      </c>
      <c r="R537" t="s">
        <v>636</v>
      </c>
      <c r="S537" t="s">
        <v>703</v>
      </c>
      <c r="T537">
        <f>215/3</f>
        <v>71.666666666666671</v>
      </c>
      <c r="U537" s="2">
        <f>Table1[[#This Row],[Coal Power Plant Size (MW) or Share]]*0.593*9057*211.9*10^(-9)</f>
        <v>8.1561879119500011E-2</v>
      </c>
      <c r="V537" s="2">
        <f>Table1[[#This Row],[Annual Emissions (MMTCO2)]]*40</f>
        <v>3.2624751647800005</v>
      </c>
      <c r="W537"/>
      <c r="X537">
        <f>215/3</f>
        <v>71.666666666666671</v>
      </c>
      <c r="Y537"/>
      <c r="Z537" s="1"/>
      <c r="AA537" s="1"/>
    </row>
    <row r="538" spans="1:27" ht="27" hidden="1" customHeight="1">
      <c r="A538" t="s">
        <v>14</v>
      </c>
      <c r="B538" t="s">
        <v>199</v>
      </c>
      <c r="C538" t="s">
        <v>14</v>
      </c>
      <c r="D538" s="6">
        <v>278350000</v>
      </c>
      <c r="E538"/>
      <c r="F538"/>
      <c r="G538"/>
      <c r="H538" t="s">
        <v>1603</v>
      </c>
      <c r="I538" t="s">
        <v>1842</v>
      </c>
      <c r="J538" s="28">
        <v>42004</v>
      </c>
      <c r="K538" t="s">
        <v>992</v>
      </c>
      <c r="L538" t="s">
        <v>200</v>
      </c>
      <c r="M538"/>
      <c r="N538"/>
      <c r="O538"/>
      <c r="P538"/>
      <c r="Q538" t="s">
        <v>634</v>
      </c>
      <c r="R538" t="s">
        <v>1469</v>
      </c>
      <c r="S538" t="s">
        <v>703</v>
      </c>
      <c r="T538">
        <v>288</v>
      </c>
      <c r="U538" s="2">
        <f>Table1[[#This Row],[Coal Power Plant Size (MW) or Share]]*0.593*9057*211.9*10^(-9)</f>
        <v>0.32776494678719997</v>
      </c>
      <c r="V538" s="2">
        <f>Table1[[#This Row],[Annual Emissions (MMTCO2)]]*40</f>
        <v>13.110597871487998</v>
      </c>
      <c r="W538"/>
      <c r="X538">
        <v>288</v>
      </c>
      <c r="Y538"/>
      <c r="Z538" s="1"/>
      <c r="AA538" s="1"/>
    </row>
    <row r="539" spans="1:27" ht="27" hidden="1" customHeight="1">
      <c r="A539" t="s">
        <v>14</v>
      </c>
      <c r="B539" t="s">
        <v>199</v>
      </c>
      <c r="C539" t="s">
        <v>14</v>
      </c>
      <c r="D539" s="6">
        <v>555000000</v>
      </c>
      <c r="E539"/>
      <c r="F539"/>
      <c r="G539"/>
      <c r="H539" t="s">
        <v>1707</v>
      </c>
      <c r="I539" t="s">
        <v>1835</v>
      </c>
      <c r="J539" s="28">
        <v>42004</v>
      </c>
      <c r="K539" t="s">
        <v>992</v>
      </c>
      <c r="L539" t="s">
        <v>200</v>
      </c>
      <c r="M539"/>
      <c r="N539"/>
      <c r="O539"/>
      <c r="P539"/>
      <c r="Q539" t="s">
        <v>634</v>
      </c>
      <c r="R539" t="s">
        <v>1469</v>
      </c>
      <c r="S539" t="s">
        <v>703</v>
      </c>
      <c r="T539">
        <v>288</v>
      </c>
      <c r="U539" s="2">
        <f>Table1[[#This Row],[Coal Power Plant Size (MW) or Share]]*0.593*9057*211.9*10^(-9)</f>
        <v>0.32776494678719997</v>
      </c>
      <c r="V539" s="2">
        <f>Table1[[#This Row],[Annual Emissions (MMTCO2)]]*40</f>
        <v>13.110597871487998</v>
      </c>
      <c r="W539"/>
      <c r="X539">
        <v>288</v>
      </c>
      <c r="Y539"/>
      <c r="Z539" s="1"/>
      <c r="AA539" s="1"/>
    </row>
    <row r="540" spans="1:27" ht="27" hidden="1" customHeight="1">
      <c r="A540" t="s">
        <v>14</v>
      </c>
      <c r="B540" t="s">
        <v>92</v>
      </c>
      <c r="C540" t="s">
        <v>14</v>
      </c>
      <c r="D540" s="6">
        <v>25000000</v>
      </c>
      <c r="E540"/>
      <c r="F540"/>
      <c r="G540"/>
      <c r="H540" t="s">
        <v>1680</v>
      </c>
      <c r="I540" t="s">
        <v>1851</v>
      </c>
      <c r="J540" s="28">
        <v>42025</v>
      </c>
      <c r="K540" t="s">
        <v>993</v>
      </c>
      <c r="L540" t="s">
        <v>1478</v>
      </c>
      <c r="M540"/>
      <c r="N540"/>
      <c r="O540"/>
      <c r="P540"/>
      <c r="Q540" t="s">
        <v>634</v>
      </c>
      <c r="R540" t="s">
        <v>635</v>
      </c>
      <c r="S540" t="s">
        <v>703</v>
      </c>
      <c r="T540">
        <f>23.8/2</f>
        <v>11.9</v>
      </c>
      <c r="U540" s="2">
        <f>Table1[[#This Row],[Coal Power Plant Size (MW) or Share]]*0.593*9057*211.9*10^(-9)</f>
        <v>1.3543065509610002E-2</v>
      </c>
      <c r="V540" s="2">
        <f>Table1[[#This Row],[Annual Emissions (MMTCO2)]]*40</f>
        <v>0.54172262038440011</v>
      </c>
      <c r="W540"/>
      <c r="X540">
        <f>23.8/2</f>
        <v>11.9</v>
      </c>
      <c r="Y540"/>
      <c r="Z540" s="1"/>
      <c r="AA540" s="1"/>
    </row>
    <row r="541" spans="1:27" ht="27" hidden="1" customHeight="1">
      <c r="A541" t="s">
        <v>14</v>
      </c>
      <c r="B541" t="s">
        <v>87</v>
      </c>
      <c r="C541" t="s">
        <v>14</v>
      </c>
      <c r="D541" s="6">
        <v>55430000</v>
      </c>
      <c r="E541" t="s">
        <v>582</v>
      </c>
      <c r="F541"/>
      <c r="G541"/>
      <c r="H541" t="s">
        <v>609</v>
      </c>
      <c r="I541" t="s">
        <v>677</v>
      </c>
      <c r="J541" s="28">
        <v>42030</v>
      </c>
      <c r="K541" t="s">
        <v>991</v>
      </c>
      <c r="L541" t="s">
        <v>223</v>
      </c>
      <c r="M541"/>
      <c r="N541"/>
      <c r="O541"/>
      <c r="P541"/>
      <c r="Q541" t="s">
        <v>634</v>
      </c>
      <c r="R541" t="s">
        <v>636</v>
      </c>
      <c r="S541" t="s">
        <v>646</v>
      </c>
      <c r="T541">
        <f>41/2</f>
        <v>20.5</v>
      </c>
      <c r="U541" s="2">
        <f>Table1[[#This Row],[Coal Power Plant Size (MW) or Share]]*0.593*9057*211.9*10^(-9)</f>
        <v>2.3330491003950002E-2</v>
      </c>
      <c r="V541" s="2">
        <f>Table1[[#This Row],[Annual Emissions (MMTCO2)]]*40</f>
        <v>0.93321964015800007</v>
      </c>
      <c r="W541"/>
      <c r="X541">
        <f>41/2</f>
        <v>20.5</v>
      </c>
      <c r="Y541"/>
      <c r="Z541" s="1"/>
      <c r="AA541" s="1"/>
    </row>
    <row r="542" spans="1:27" ht="27" hidden="1" customHeight="1">
      <c r="A542" t="s">
        <v>14</v>
      </c>
      <c r="B542" t="s">
        <v>566</v>
      </c>
      <c r="C542" t="s">
        <v>14</v>
      </c>
      <c r="D542" s="6">
        <v>30000000</v>
      </c>
      <c r="E542" t="s">
        <v>582</v>
      </c>
      <c r="F542"/>
      <c r="G542"/>
      <c r="H542" t="s">
        <v>609</v>
      </c>
      <c r="I542" t="s">
        <v>677</v>
      </c>
      <c r="J542" s="28">
        <v>42030</v>
      </c>
      <c r="K542" t="s">
        <v>991</v>
      </c>
      <c r="L542" t="s">
        <v>223</v>
      </c>
      <c r="M542"/>
      <c r="N542"/>
      <c r="O542"/>
      <c r="P542"/>
      <c r="Q542" t="s">
        <v>634</v>
      </c>
      <c r="R542" t="s">
        <v>636</v>
      </c>
      <c r="S542" t="s">
        <v>646</v>
      </c>
      <c r="T542">
        <f>41/2</f>
        <v>20.5</v>
      </c>
      <c r="U542" s="2">
        <f>Table1[[#This Row],[Coal Power Plant Size (MW) or Share]]*0.593*9057*211.9*10^(-9)</f>
        <v>2.3330491003950002E-2</v>
      </c>
      <c r="V542" s="2">
        <f>Table1[[#This Row],[Annual Emissions (MMTCO2)]]*40</f>
        <v>0.93321964015800007</v>
      </c>
      <c r="W542"/>
      <c r="X542">
        <f>41/2</f>
        <v>20.5</v>
      </c>
      <c r="Y542"/>
      <c r="Z542" s="1"/>
      <c r="AA542" s="1"/>
    </row>
    <row r="543" spans="1:27" ht="27" hidden="1" customHeight="1">
      <c r="A543" t="s">
        <v>14</v>
      </c>
      <c r="B543" t="s">
        <v>561</v>
      </c>
      <c r="C543" t="s">
        <v>14</v>
      </c>
      <c r="D543" s="6">
        <v>10000000</v>
      </c>
      <c r="E543"/>
      <c r="F543"/>
      <c r="G543"/>
      <c r="H543" t="s">
        <v>1594</v>
      </c>
      <c r="I543" t="s">
        <v>1826</v>
      </c>
      <c r="J543" s="28">
        <v>42030</v>
      </c>
      <c r="K543" t="s">
        <v>1450</v>
      </c>
      <c r="L543" t="s">
        <v>1595</v>
      </c>
      <c r="M543"/>
      <c r="N543"/>
      <c r="O543"/>
      <c r="P543"/>
      <c r="Q543" t="s">
        <v>634</v>
      </c>
      <c r="R543" t="s">
        <v>636</v>
      </c>
      <c r="S543" t="s">
        <v>703</v>
      </c>
      <c r="T543">
        <f>36.3/2</f>
        <v>18.149999999999999</v>
      </c>
      <c r="U543" s="2">
        <f>Table1[[#This Row],[Coal Power Plant Size (MW) or Share]]*0.593*9057*211.9*10^(-9)</f>
        <v>2.0656020083985E-2</v>
      </c>
      <c r="V543" s="2">
        <f>Table1[[#This Row],[Annual Emissions (MMTCO2)]]*40</f>
        <v>0.82624080335939998</v>
      </c>
      <c r="W543"/>
      <c r="X543">
        <f>36.3/2</f>
        <v>18.149999999999999</v>
      </c>
      <c r="Y543"/>
      <c r="Z543" s="1"/>
      <c r="AA543" s="1"/>
    </row>
    <row r="544" spans="1:27" ht="27" hidden="1" customHeight="1">
      <c r="A544" t="s">
        <v>14</v>
      </c>
      <c r="B544" t="s">
        <v>1598</v>
      </c>
      <c r="C544" t="s">
        <v>126</v>
      </c>
      <c r="D544" s="6">
        <v>6000000</v>
      </c>
      <c r="E544"/>
      <c r="F544"/>
      <c r="G544"/>
      <c r="H544" t="s">
        <v>1596</v>
      </c>
      <c r="I544" t="s">
        <v>1855</v>
      </c>
      <c r="J544" s="28">
        <v>42050</v>
      </c>
      <c r="K544" t="s">
        <v>990</v>
      </c>
      <c r="L544" t="s">
        <v>1597</v>
      </c>
      <c r="M544"/>
      <c r="N544"/>
      <c r="O544"/>
      <c r="P544"/>
      <c r="Q544" t="s">
        <v>634</v>
      </c>
      <c r="R544" t="s">
        <v>636</v>
      </c>
      <c r="S544" t="s">
        <v>703</v>
      </c>
      <c r="T544">
        <f>32.1/3</f>
        <v>10.700000000000001</v>
      </c>
      <c r="U544" s="2">
        <f>Table1[[#This Row],[Coal Power Plant Size (MW) or Share]]*0.593*9057*211.9*10^(-9)</f>
        <v>1.2177378231330003E-2</v>
      </c>
      <c r="V544" s="2">
        <f>Table1[[#This Row],[Annual Emissions (MMTCO2)]]*40</f>
        <v>0.48709512925320009</v>
      </c>
      <c r="W544"/>
      <c r="X544">
        <f>32.1/3</f>
        <v>10.700000000000001</v>
      </c>
      <c r="Y544"/>
      <c r="Z544" s="1"/>
      <c r="AA544" s="1"/>
    </row>
    <row r="545" spans="1:27" ht="27" hidden="1" customHeight="1">
      <c r="A545" t="s">
        <v>14</v>
      </c>
      <c r="B545" t="s">
        <v>1598</v>
      </c>
      <c r="C545" t="s">
        <v>126</v>
      </c>
      <c r="D545" s="6">
        <v>14000000</v>
      </c>
      <c r="E545"/>
      <c r="F545"/>
      <c r="G545"/>
      <c r="H545" t="s">
        <v>1703</v>
      </c>
      <c r="I545" t="s">
        <v>1773</v>
      </c>
      <c r="J545" s="28">
        <v>42050</v>
      </c>
      <c r="K545" t="s">
        <v>990</v>
      </c>
      <c r="L545" t="s">
        <v>1597</v>
      </c>
      <c r="M545"/>
      <c r="N545"/>
      <c r="O545"/>
      <c r="P545"/>
      <c r="Q545" t="s">
        <v>634</v>
      </c>
      <c r="R545" t="s">
        <v>636</v>
      </c>
      <c r="S545" t="s">
        <v>703</v>
      </c>
      <c r="T545">
        <f>97.15/3</f>
        <v>32.383333333333333</v>
      </c>
      <c r="U545" s="2">
        <f>Table1[[#This Row],[Coal Power Plant Size (MW) or Share]]*0.593*9057*211.9*10^(-9)</f>
        <v>3.6854588634695006E-2</v>
      </c>
      <c r="V545" s="2">
        <f>Table1[[#This Row],[Annual Emissions (MMTCO2)]]*40</f>
        <v>1.4741835453878003</v>
      </c>
      <c r="W545"/>
      <c r="X545">
        <f>97.15/3</f>
        <v>32.383333333333333</v>
      </c>
      <c r="Y545"/>
      <c r="Z545" s="1"/>
      <c r="AA545" s="1"/>
    </row>
    <row r="546" spans="1:27" ht="27" hidden="1" customHeight="1">
      <c r="A546" t="s">
        <v>14</v>
      </c>
      <c r="B546" t="s">
        <v>561</v>
      </c>
      <c r="C546" t="s">
        <v>14</v>
      </c>
      <c r="D546" s="6">
        <v>11250000</v>
      </c>
      <c r="E546" t="s">
        <v>579</v>
      </c>
      <c r="F546"/>
      <c r="G546"/>
      <c r="H546" t="s">
        <v>606</v>
      </c>
      <c r="I546" t="s">
        <v>674</v>
      </c>
      <c r="J546" s="28">
        <v>42054</v>
      </c>
      <c r="K546" t="s">
        <v>989</v>
      </c>
      <c r="L546" t="s">
        <v>78</v>
      </c>
      <c r="M546"/>
      <c r="N546"/>
      <c r="O546"/>
      <c r="P546"/>
      <c r="Q546" t="s">
        <v>634</v>
      </c>
      <c r="R546" t="s">
        <v>636</v>
      </c>
      <c r="S546" t="s">
        <v>646</v>
      </c>
      <c r="T546"/>
      <c r="U546" s="2">
        <f>Table1[[#This Row],[Coal Power Plant Size (MW) or Share]]*0.593*9057*211.9*10^(-9)</f>
        <v>0</v>
      </c>
      <c r="V546" s="2">
        <f>Table1[[#This Row],[Annual Emissions (MMTCO2)]]*40</f>
        <v>0</v>
      </c>
      <c r="W546"/>
      <c r="X546"/>
      <c r="Y546"/>
      <c r="Z546" s="1"/>
      <c r="AA546" s="1"/>
    </row>
    <row r="547" spans="1:27" ht="27" hidden="1" customHeight="1">
      <c r="A547" t="s">
        <v>14</v>
      </c>
      <c r="B547" t="s">
        <v>561</v>
      </c>
      <c r="C547" t="s">
        <v>14</v>
      </c>
      <c r="D547" s="6">
        <v>22000000</v>
      </c>
      <c r="E547" t="s">
        <v>578</v>
      </c>
      <c r="F547"/>
      <c r="G547"/>
      <c r="H547" t="s">
        <v>604</v>
      </c>
      <c r="I547" t="s">
        <v>672</v>
      </c>
      <c r="J547" s="28">
        <v>42074</v>
      </c>
      <c r="K547" t="s">
        <v>989</v>
      </c>
      <c r="L547" t="s">
        <v>78</v>
      </c>
      <c r="M547"/>
      <c r="N547"/>
      <c r="O547"/>
      <c r="P547"/>
      <c r="Q547" t="s">
        <v>634</v>
      </c>
      <c r="R547" t="s">
        <v>636</v>
      </c>
      <c r="S547" t="s">
        <v>646</v>
      </c>
      <c r="T547">
        <v>24.75</v>
      </c>
      <c r="U547" s="2">
        <f>Table1[[#This Row],[Coal Power Plant Size (MW) or Share]]*0.593*9057*211.9*10^(-9)</f>
        <v>2.8167300114525003E-2</v>
      </c>
      <c r="V547" s="2">
        <f>Table1[[#This Row],[Annual Emissions (MMTCO2)]]*40</f>
        <v>1.1266920045810001</v>
      </c>
      <c r="W547"/>
      <c r="X547">
        <v>24.75</v>
      </c>
      <c r="Y547"/>
      <c r="Z547" s="1"/>
      <c r="AA547" s="1"/>
    </row>
    <row r="548" spans="1:27" ht="27" hidden="1" customHeight="1">
      <c r="A548" t="s">
        <v>14</v>
      </c>
      <c r="B548" t="s">
        <v>28</v>
      </c>
      <c r="C548" t="s">
        <v>14</v>
      </c>
      <c r="D548" s="6">
        <v>39380000</v>
      </c>
      <c r="E548"/>
      <c r="F548"/>
      <c r="G548"/>
      <c r="H548" t="s">
        <v>1717</v>
      </c>
      <c r="I548" t="s">
        <v>1820</v>
      </c>
      <c r="J548" s="28">
        <v>42076</v>
      </c>
      <c r="K548" t="s">
        <v>1482</v>
      </c>
      <c r="L548" t="s">
        <v>31</v>
      </c>
      <c r="M548"/>
      <c r="N548"/>
      <c r="O548"/>
      <c r="P548"/>
      <c r="Q548" t="s">
        <v>634</v>
      </c>
      <c r="R548" t="s">
        <v>1474</v>
      </c>
      <c r="S548" t="s">
        <v>703</v>
      </c>
      <c r="T548">
        <f>100/5</f>
        <v>20</v>
      </c>
      <c r="U548" s="2">
        <f>Table1[[#This Row],[Coal Power Plant Size (MW) or Share]]*0.593*9057*211.9*10^(-9)</f>
        <v>2.2761454637999997E-2</v>
      </c>
      <c r="V548" s="2">
        <f>Table1[[#This Row],[Annual Emissions (MMTCO2)]]*40</f>
        <v>0.91045818551999991</v>
      </c>
      <c r="W548"/>
      <c r="X548">
        <f>100/5</f>
        <v>20</v>
      </c>
      <c r="Y548"/>
      <c r="Z548" s="1"/>
      <c r="AA548" s="1"/>
    </row>
    <row r="549" spans="1:27" ht="27" hidden="1" customHeight="1">
      <c r="A549" t="s">
        <v>14</v>
      </c>
      <c r="B549" t="s">
        <v>28</v>
      </c>
      <c r="C549" t="s">
        <v>14</v>
      </c>
      <c r="D549" s="6">
        <v>74560000</v>
      </c>
      <c r="E549"/>
      <c r="F549"/>
      <c r="G549"/>
      <c r="H549" t="s">
        <v>1717</v>
      </c>
      <c r="I549" t="s">
        <v>1820</v>
      </c>
      <c r="J549" s="28">
        <v>42076</v>
      </c>
      <c r="K549" t="s">
        <v>1482</v>
      </c>
      <c r="L549" t="s">
        <v>31</v>
      </c>
      <c r="M549"/>
      <c r="N549"/>
      <c r="O549"/>
      <c r="P549"/>
      <c r="Q549" t="s">
        <v>634</v>
      </c>
      <c r="R549" t="s">
        <v>1474</v>
      </c>
      <c r="S549" t="s">
        <v>703</v>
      </c>
      <c r="T549">
        <f>100/5</f>
        <v>20</v>
      </c>
      <c r="U549" s="2">
        <f>Table1[[#This Row],[Coal Power Plant Size (MW) or Share]]*0.593*9057*211.9*10^(-9)</f>
        <v>2.2761454637999997E-2</v>
      </c>
      <c r="V549" s="2">
        <f>Table1[[#This Row],[Annual Emissions (MMTCO2)]]*40</f>
        <v>0.91045818551999991</v>
      </c>
      <c r="W549"/>
      <c r="X549">
        <f>100/5</f>
        <v>20</v>
      </c>
      <c r="Y549"/>
      <c r="Z549" s="1"/>
      <c r="AA549" s="1"/>
    </row>
    <row r="550" spans="1:27" ht="27" hidden="1" customHeight="1">
      <c r="A550" t="s">
        <v>14</v>
      </c>
      <c r="B550" t="s">
        <v>561</v>
      </c>
      <c r="C550" t="s">
        <v>14</v>
      </c>
      <c r="D550" s="6">
        <v>36600000</v>
      </c>
      <c r="E550"/>
      <c r="F550"/>
      <c r="G550"/>
      <c r="H550" t="s">
        <v>1717</v>
      </c>
      <c r="I550" t="s">
        <v>1820</v>
      </c>
      <c r="J550" s="28">
        <v>42076</v>
      </c>
      <c r="K550" t="s">
        <v>1482</v>
      </c>
      <c r="L550" t="s">
        <v>31</v>
      </c>
      <c r="M550"/>
      <c r="N550"/>
      <c r="O550"/>
      <c r="P550"/>
      <c r="Q550" t="s">
        <v>634</v>
      </c>
      <c r="R550" t="s">
        <v>1474</v>
      </c>
      <c r="S550" t="s">
        <v>703</v>
      </c>
      <c r="T550">
        <f>100/5</f>
        <v>20</v>
      </c>
      <c r="U550" s="2">
        <f>Table1[[#This Row],[Coal Power Plant Size (MW) or Share]]*0.593*9057*211.9*10^(-9)</f>
        <v>2.2761454637999997E-2</v>
      </c>
      <c r="V550" s="2">
        <f>Table1[[#This Row],[Annual Emissions (MMTCO2)]]*40</f>
        <v>0.91045818551999991</v>
      </c>
      <c r="W550"/>
      <c r="X550">
        <f>100/5</f>
        <v>20</v>
      </c>
      <c r="Y550"/>
      <c r="Z550" s="1"/>
      <c r="AA550" s="1"/>
    </row>
    <row r="551" spans="1:27" ht="27" hidden="1" customHeight="1">
      <c r="A551" t="s">
        <v>14</v>
      </c>
      <c r="B551" t="s">
        <v>561</v>
      </c>
      <c r="C551" t="s">
        <v>14</v>
      </c>
      <c r="D551" s="6">
        <v>25000000</v>
      </c>
      <c r="E551"/>
      <c r="F551"/>
      <c r="G551"/>
      <c r="H551" t="s">
        <v>1502</v>
      </c>
      <c r="I551" t="s">
        <v>1862</v>
      </c>
      <c r="J551" s="28">
        <v>42089</v>
      </c>
      <c r="K551" t="s">
        <v>990</v>
      </c>
      <c r="L551" t="s">
        <v>1503</v>
      </c>
      <c r="M551"/>
      <c r="N551"/>
      <c r="O551"/>
      <c r="P551"/>
      <c r="Q551" t="s">
        <v>634</v>
      </c>
      <c r="R551" t="s">
        <v>635</v>
      </c>
      <c r="S551" t="s">
        <v>703</v>
      </c>
      <c r="T551">
        <f>61/3</f>
        <v>20.333333333333332</v>
      </c>
      <c r="U551" s="2">
        <f>Table1[[#This Row],[Coal Power Plant Size (MW) or Share]]*0.593*9057*211.9*10^(-9)</f>
        <v>2.3140812215300004E-2</v>
      </c>
      <c r="V551" s="2">
        <f>Table1[[#This Row],[Annual Emissions (MMTCO2)]]*40</f>
        <v>0.9256324886120002</v>
      </c>
      <c r="W551"/>
      <c r="X551">
        <f>61/3</f>
        <v>20.333333333333332</v>
      </c>
      <c r="Y551"/>
      <c r="Z551" s="1"/>
      <c r="AA551" s="1"/>
    </row>
    <row r="552" spans="1:27" ht="27" hidden="1" customHeight="1">
      <c r="A552" t="s">
        <v>14</v>
      </c>
      <c r="B552" t="s">
        <v>561</v>
      </c>
      <c r="C552" t="s">
        <v>14</v>
      </c>
      <c r="D552" s="6">
        <v>12130000</v>
      </c>
      <c r="E552" t="s">
        <v>577</v>
      </c>
      <c r="F552"/>
      <c r="G552"/>
      <c r="H552" t="s">
        <v>603</v>
      </c>
      <c r="I552" t="s">
        <v>671</v>
      </c>
      <c r="J552" s="28">
        <v>42090</v>
      </c>
      <c r="K552" t="s">
        <v>989</v>
      </c>
      <c r="L552" t="s">
        <v>78</v>
      </c>
      <c r="M552"/>
      <c r="N552"/>
      <c r="O552"/>
      <c r="P552"/>
      <c r="Q552" t="s">
        <v>634</v>
      </c>
      <c r="R552" t="s">
        <v>636</v>
      </c>
      <c r="S552" t="s">
        <v>646</v>
      </c>
      <c r="T552">
        <f>50/7</f>
        <v>7.1428571428571432</v>
      </c>
      <c r="U552" s="2">
        <f>Table1[[#This Row],[Coal Power Plant Size (MW) or Share]]*0.593*9057*211.9*10^(-9)</f>
        <v>8.1290909421428571E-3</v>
      </c>
      <c r="V552" s="2">
        <f>Table1[[#This Row],[Annual Emissions (MMTCO2)]]*40</f>
        <v>0.32516363768571427</v>
      </c>
      <c r="W552"/>
      <c r="X552">
        <f>50/7</f>
        <v>7.1428571428571432</v>
      </c>
      <c r="Y552"/>
      <c r="Z552" s="1"/>
      <c r="AA552" s="1"/>
    </row>
    <row r="553" spans="1:27" ht="27" hidden="1" customHeight="1">
      <c r="A553" t="s">
        <v>14</v>
      </c>
      <c r="B553" t="s">
        <v>561</v>
      </c>
      <c r="C553" t="s">
        <v>14</v>
      </c>
      <c r="D553" s="6">
        <v>3870000</v>
      </c>
      <c r="E553" t="s">
        <v>577</v>
      </c>
      <c r="F553"/>
      <c r="G553"/>
      <c r="H553" t="s">
        <v>603</v>
      </c>
      <c r="I553" t="s">
        <v>671</v>
      </c>
      <c r="J553" s="28">
        <v>42090</v>
      </c>
      <c r="K553" t="s">
        <v>989</v>
      </c>
      <c r="L553" t="s">
        <v>78</v>
      </c>
      <c r="M553"/>
      <c r="N553"/>
      <c r="O553"/>
      <c r="P553"/>
      <c r="Q553" t="s">
        <v>634</v>
      </c>
      <c r="R553" t="s">
        <v>636</v>
      </c>
      <c r="S553" t="s">
        <v>646</v>
      </c>
      <c r="T553">
        <f>50/7</f>
        <v>7.1428571428571432</v>
      </c>
      <c r="U553" s="2">
        <f>Table1[[#This Row],[Coal Power Plant Size (MW) or Share]]*0.593*9057*211.9*10^(-9)</f>
        <v>8.1290909421428571E-3</v>
      </c>
      <c r="V553" s="2">
        <f>Table1[[#This Row],[Annual Emissions (MMTCO2)]]*40</f>
        <v>0.32516363768571427</v>
      </c>
      <c r="W553"/>
      <c r="X553">
        <f>50/7</f>
        <v>7.1428571428571432</v>
      </c>
      <c r="Y553"/>
      <c r="Z553" s="1"/>
      <c r="AA553" s="1"/>
    </row>
    <row r="554" spans="1:27" ht="27" hidden="1" customHeight="1">
      <c r="A554" t="s">
        <v>14</v>
      </c>
      <c r="B554" t="s">
        <v>561</v>
      </c>
      <c r="C554" t="s">
        <v>14</v>
      </c>
      <c r="D554" s="6">
        <v>10500000</v>
      </c>
      <c r="E554"/>
      <c r="F554"/>
      <c r="G554"/>
      <c r="H554" t="s">
        <v>1498</v>
      </c>
      <c r="I554" t="s">
        <v>1830</v>
      </c>
      <c r="J554" s="28">
        <v>42143</v>
      </c>
      <c r="K554" t="s">
        <v>993</v>
      </c>
      <c r="L554" t="s">
        <v>1478</v>
      </c>
      <c r="M554"/>
      <c r="N554"/>
      <c r="O554"/>
      <c r="P554"/>
      <c r="Q554" t="s">
        <v>634</v>
      </c>
      <c r="R554" t="s">
        <v>635</v>
      </c>
      <c r="S554" t="s">
        <v>703</v>
      </c>
      <c r="T554">
        <v>10</v>
      </c>
      <c r="U554" s="2">
        <f>Table1[[#This Row],[Coal Power Plant Size (MW) or Share]]*0.593*9057*211.9*10^(-9)</f>
        <v>1.1380727318999998E-2</v>
      </c>
      <c r="V554" s="2">
        <f>Table1[[#This Row],[Annual Emissions (MMTCO2)]]*40</f>
        <v>0.45522909275999995</v>
      </c>
      <c r="W554"/>
      <c r="X554">
        <v>10</v>
      </c>
      <c r="Y554"/>
      <c r="Z554" s="1"/>
      <c r="AA554" s="1"/>
    </row>
    <row r="555" spans="1:27" ht="27" hidden="1" customHeight="1">
      <c r="A555" t="s">
        <v>14</v>
      </c>
      <c r="B555" t="s">
        <v>561</v>
      </c>
      <c r="C555" t="s">
        <v>14</v>
      </c>
      <c r="D555" s="6">
        <v>13100000</v>
      </c>
      <c r="E555"/>
      <c r="F555"/>
      <c r="G555"/>
      <c r="H555" t="s">
        <v>1539</v>
      </c>
      <c r="I555" t="s">
        <v>1829</v>
      </c>
      <c r="J555" s="28">
        <v>42144</v>
      </c>
      <c r="K555" t="s">
        <v>993</v>
      </c>
      <c r="L555" t="s">
        <v>1478</v>
      </c>
      <c r="M555"/>
      <c r="N555"/>
      <c r="O555"/>
      <c r="P555"/>
      <c r="Q555" t="s">
        <v>634</v>
      </c>
      <c r="R555" t="s">
        <v>635</v>
      </c>
      <c r="S555" t="s">
        <v>703</v>
      </c>
      <c r="T555">
        <v>21</v>
      </c>
      <c r="U555" s="2">
        <f>Table1[[#This Row],[Coal Power Plant Size (MW) or Share]]*0.593*9057*211.9*10^(-9)</f>
        <v>2.38995273699E-2</v>
      </c>
      <c r="V555" s="2">
        <f>Table1[[#This Row],[Annual Emissions (MMTCO2)]]*40</f>
        <v>0.95598109479600002</v>
      </c>
      <c r="W555"/>
      <c r="X555">
        <v>21</v>
      </c>
      <c r="Y555"/>
      <c r="Z555" s="1"/>
      <c r="AA555" s="1"/>
    </row>
    <row r="556" spans="1:27" ht="27" hidden="1" customHeight="1">
      <c r="A556" t="s">
        <v>14</v>
      </c>
      <c r="B556" t="s">
        <v>28</v>
      </c>
      <c r="C556" t="s">
        <v>14</v>
      </c>
      <c r="D556" s="6">
        <v>128100000</v>
      </c>
      <c r="E556"/>
      <c r="F556"/>
      <c r="G556"/>
      <c r="H556" t="s">
        <v>1617</v>
      </c>
      <c r="I556" t="s">
        <v>1800</v>
      </c>
      <c r="J556" s="28">
        <v>42145</v>
      </c>
      <c r="K556" t="s">
        <v>993</v>
      </c>
      <c r="L556" t="s">
        <v>166</v>
      </c>
      <c r="M556"/>
      <c r="N556"/>
      <c r="O556"/>
      <c r="P556"/>
      <c r="Q556" t="s">
        <v>634</v>
      </c>
      <c r="R556" t="s">
        <v>1474</v>
      </c>
      <c r="S556" t="s">
        <v>703</v>
      </c>
      <c r="T556">
        <f>200/6</f>
        <v>33.333333333333336</v>
      </c>
      <c r="U556" s="2">
        <f>Table1[[#This Row],[Coal Power Plant Size (MW) or Share]]*0.593*9057*211.9*10^(-9)</f>
        <v>3.7935757729999998E-2</v>
      </c>
      <c r="V556" s="2">
        <f>Table1[[#This Row],[Annual Emissions (MMTCO2)]]*40</f>
        <v>1.5174303091999999</v>
      </c>
      <c r="W556"/>
      <c r="X556">
        <f>200/6</f>
        <v>33.333333333333336</v>
      </c>
      <c r="Y556"/>
      <c r="Z556" s="1"/>
      <c r="AA556" s="1"/>
    </row>
    <row r="557" spans="1:27" ht="27" hidden="1" customHeight="1">
      <c r="A557" t="s">
        <v>14</v>
      </c>
      <c r="B557" t="s">
        <v>28</v>
      </c>
      <c r="C557" t="s">
        <v>14</v>
      </c>
      <c r="D557" s="6">
        <v>88100000</v>
      </c>
      <c r="E557"/>
      <c r="F557"/>
      <c r="G557"/>
      <c r="H557" t="s">
        <v>1618</v>
      </c>
      <c r="I557" t="s">
        <v>1801</v>
      </c>
      <c r="J557" s="28">
        <v>42145</v>
      </c>
      <c r="K557" t="s">
        <v>993</v>
      </c>
      <c r="L557" t="s">
        <v>166</v>
      </c>
      <c r="M557"/>
      <c r="N557"/>
      <c r="O557"/>
      <c r="P557"/>
      <c r="Q557" t="s">
        <v>634</v>
      </c>
      <c r="R557" t="s">
        <v>1474</v>
      </c>
      <c r="S557" t="s">
        <v>703</v>
      </c>
      <c r="T557">
        <f>150/6</f>
        <v>25</v>
      </c>
      <c r="U557" s="2">
        <f>Table1[[#This Row],[Coal Power Plant Size (MW) or Share]]*0.593*9057*211.9*10^(-9)</f>
        <v>2.8451818297500001E-2</v>
      </c>
      <c r="V557" s="2">
        <f>Table1[[#This Row],[Annual Emissions (MMTCO2)]]*40</f>
        <v>1.1380727318999999</v>
      </c>
      <c r="W557"/>
      <c r="X557">
        <f>150/6</f>
        <v>25</v>
      </c>
      <c r="Y557"/>
      <c r="Z557" s="1"/>
      <c r="AA557" s="1"/>
    </row>
    <row r="558" spans="1:27" ht="27" hidden="1" customHeight="1">
      <c r="A558" t="s">
        <v>14</v>
      </c>
      <c r="B558" t="s">
        <v>566</v>
      </c>
      <c r="C558" t="s">
        <v>14</v>
      </c>
      <c r="D558" s="6">
        <v>59500000</v>
      </c>
      <c r="E558"/>
      <c r="F558"/>
      <c r="G558"/>
      <c r="H558" t="s">
        <v>1617</v>
      </c>
      <c r="I558" t="s">
        <v>1800</v>
      </c>
      <c r="J558" s="28">
        <v>42145</v>
      </c>
      <c r="K558" t="s">
        <v>993</v>
      </c>
      <c r="L558" t="s">
        <v>166</v>
      </c>
      <c r="M558"/>
      <c r="N558"/>
      <c r="O558"/>
      <c r="P558"/>
      <c r="Q558" t="s">
        <v>634</v>
      </c>
      <c r="R558" t="s">
        <v>1474</v>
      </c>
      <c r="S558" t="s">
        <v>703</v>
      </c>
      <c r="T558">
        <f>200/6</f>
        <v>33.333333333333336</v>
      </c>
      <c r="U558" s="2">
        <f>Table1[[#This Row],[Coal Power Plant Size (MW) or Share]]*0.593*9057*211.9*10^(-9)</f>
        <v>3.7935757729999998E-2</v>
      </c>
      <c r="V558" s="2">
        <f>Table1[[#This Row],[Annual Emissions (MMTCO2)]]*40</f>
        <v>1.5174303091999999</v>
      </c>
      <c r="W558"/>
      <c r="X558">
        <f>200/6</f>
        <v>33.333333333333336</v>
      </c>
      <c r="Y558"/>
      <c r="Z558" s="1"/>
      <c r="AA558" s="1"/>
    </row>
    <row r="559" spans="1:27" ht="27" hidden="1" customHeight="1">
      <c r="A559" t="s">
        <v>14</v>
      </c>
      <c r="B559" t="s">
        <v>566</v>
      </c>
      <c r="C559" t="s">
        <v>14</v>
      </c>
      <c r="D559" s="6">
        <v>59500000</v>
      </c>
      <c r="E559"/>
      <c r="F559"/>
      <c r="G559"/>
      <c r="H559" t="s">
        <v>1618</v>
      </c>
      <c r="I559" t="s">
        <v>1801</v>
      </c>
      <c r="J559" s="28">
        <v>42145</v>
      </c>
      <c r="K559" t="s">
        <v>993</v>
      </c>
      <c r="L559" t="s">
        <v>166</v>
      </c>
      <c r="M559"/>
      <c r="N559"/>
      <c r="O559"/>
      <c r="P559"/>
      <c r="Q559" t="s">
        <v>634</v>
      </c>
      <c r="R559" t="s">
        <v>1474</v>
      </c>
      <c r="S559" t="s">
        <v>703</v>
      </c>
      <c r="T559">
        <f>150/6</f>
        <v>25</v>
      </c>
      <c r="U559" s="2">
        <f>Table1[[#This Row],[Coal Power Plant Size (MW) or Share]]*0.593*9057*211.9*10^(-9)</f>
        <v>2.8451818297500001E-2</v>
      </c>
      <c r="V559" s="2">
        <f>Table1[[#This Row],[Annual Emissions (MMTCO2)]]*40</f>
        <v>1.1380727318999999</v>
      </c>
      <c r="W559"/>
      <c r="X559">
        <f>150/6</f>
        <v>25</v>
      </c>
      <c r="Y559"/>
      <c r="Z559" s="1"/>
      <c r="AA559" s="1"/>
    </row>
    <row r="560" spans="1:27" ht="27" hidden="1" customHeight="1">
      <c r="A560" t="s">
        <v>14</v>
      </c>
      <c r="B560" t="s">
        <v>199</v>
      </c>
      <c r="C560" t="s">
        <v>14</v>
      </c>
      <c r="D560" s="6">
        <v>128100000</v>
      </c>
      <c r="E560"/>
      <c r="F560"/>
      <c r="G560"/>
      <c r="H560" t="s">
        <v>1617</v>
      </c>
      <c r="I560" t="s">
        <v>1800</v>
      </c>
      <c r="J560" s="28">
        <v>42145</v>
      </c>
      <c r="K560" t="s">
        <v>993</v>
      </c>
      <c r="L560" t="s">
        <v>166</v>
      </c>
      <c r="M560"/>
      <c r="N560"/>
      <c r="O560"/>
      <c r="P560"/>
      <c r="Q560" t="s">
        <v>634</v>
      </c>
      <c r="R560" t="s">
        <v>1474</v>
      </c>
      <c r="S560" t="s">
        <v>703</v>
      </c>
      <c r="T560">
        <f>200/6</f>
        <v>33.333333333333336</v>
      </c>
      <c r="U560" s="2">
        <f>Table1[[#This Row],[Coal Power Plant Size (MW) or Share]]*0.593*9057*211.9*10^(-9)</f>
        <v>3.7935757729999998E-2</v>
      </c>
      <c r="V560" s="2">
        <f>Table1[[#This Row],[Annual Emissions (MMTCO2)]]*40</f>
        <v>1.5174303091999999</v>
      </c>
      <c r="W560"/>
      <c r="X560">
        <f>200/6</f>
        <v>33.333333333333336</v>
      </c>
      <c r="Y560"/>
      <c r="Z560" s="1"/>
      <c r="AA560" s="1"/>
    </row>
    <row r="561" spans="1:27" ht="27" hidden="1" customHeight="1">
      <c r="A561" t="s">
        <v>14</v>
      </c>
      <c r="B561" t="s">
        <v>199</v>
      </c>
      <c r="C561" t="s">
        <v>14</v>
      </c>
      <c r="D561" s="6">
        <v>88100000</v>
      </c>
      <c r="E561"/>
      <c r="F561"/>
      <c r="G561"/>
      <c r="H561" t="s">
        <v>1618</v>
      </c>
      <c r="I561" t="s">
        <v>1801</v>
      </c>
      <c r="J561" s="28">
        <v>42145</v>
      </c>
      <c r="K561" t="s">
        <v>993</v>
      </c>
      <c r="L561" t="s">
        <v>166</v>
      </c>
      <c r="M561"/>
      <c r="N561"/>
      <c r="O561"/>
      <c r="P561"/>
      <c r="Q561" t="s">
        <v>634</v>
      </c>
      <c r="R561" t="s">
        <v>1474</v>
      </c>
      <c r="S561" t="s">
        <v>703</v>
      </c>
      <c r="T561">
        <f>150/6</f>
        <v>25</v>
      </c>
      <c r="U561" s="2">
        <f>Table1[[#This Row],[Coal Power Plant Size (MW) or Share]]*0.593*9057*211.9*10^(-9)</f>
        <v>2.8451818297500001E-2</v>
      </c>
      <c r="V561" s="2">
        <f>Table1[[#This Row],[Annual Emissions (MMTCO2)]]*40</f>
        <v>1.1380727318999999</v>
      </c>
      <c r="W561"/>
      <c r="X561">
        <f>150/6</f>
        <v>25</v>
      </c>
      <c r="Y561"/>
      <c r="Z561" s="1"/>
      <c r="AA561" s="1"/>
    </row>
    <row r="562" spans="1:27" ht="27" hidden="1" customHeight="1">
      <c r="A562" t="s">
        <v>14</v>
      </c>
      <c r="B562" t="s">
        <v>561</v>
      </c>
      <c r="C562" t="s">
        <v>14</v>
      </c>
      <c r="D562" s="6">
        <v>33000000</v>
      </c>
      <c r="E562"/>
      <c r="F562"/>
      <c r="G562"/>
      <c r="H562" t="s">
        <v>1477</v>
      </c>
      <c r="I562" t="s">
        <v>1831</v>
      </c>
      <c r="J562" s="28">
        <v>42145</v>
      </c>
      <c r="K562" t="s">
        <v>993</v>
      </c>
      <c r="L562" t="s">
        <v>1478</v>
      </c>
      <c r="M562"/>
      <c r="N562"/>
      <c r="O562"/>
      <c r="P562"/>
      <c r="Q562" t="s">
        <v>634</v>
      </c>
      <c r="R562" t="s">
        <v>635</v>
      </c>
      <c r="S562" t="s">
        <v>703</v>
      </c>
      <c r="T562">
        <v>30</v>
      </c>
      <c r="U562" s="2">
        <f>Table1[[#This Row],[Coal Power Plant Size (MW) or Share]]*0.593*9057*211.9*10^(-9)</f>
        <v>3.4142181957000008E-2</v>
      </c>
      <c r="V562" s="2">
        <f>Table1[[#This Row],[Annual Emissions (MMTCO2)]]*40</f>
        <v>1.3656872782800002</v>
      </c>
      <c r="W562"/>
      <c r="X562">
        <v>30</v>
      </c>
      <c r="Y562"/>
      <c r="Z562" s="1"/>
      <c r="AA562" s="1"/>
    </row>
    <row r="563" spans="1:27" ht="27" hidden="1" customHeight="1">
      <c r="A563" t="s">
        <v>14</v>
      </c>
      <c r="B563" t="s">
        <v>561</v>
      </c>
      <c r="C563" t="s">
        <v>14</v>
      </c>
      <c r="D563" s="6">
        <v>22500000</v>
      </c>
      <c r="E563"/>
      <c r="F563"/>
      <c r="G563"/>
      <c r="H563" t="s">
        <v>1565</v>
      </c>
      <c r="I563" t="s">
        <v>1834</v>
      </c>
      <c r="J563" s="28">
        <v>42145</v>
      </c>
      <c r="K563" t="s">
        <v>993</v>
      </c>
      <c r="L563" t="s">
        <v>1478</v>
      </c>
      <c r="M563"/>
      <c r="N563"/>
      <c r="O563"/>
      <c r="P563"/>
      <c r="Q563" t="s">
        <v>634</v>
      </c>
      <c r="R563" t="s">
        <v>635</v>
      </c>
      <c r="S563" t="s">
        <v>703</v>
      </c>
      <c r="T563">
        <v>20</v>
      </c>
      <c r="U563" s="2">
        <f>Table1[[#This Row],[Coal Power Plant Size (MW) or Share]]*0.593*9057*211.9*10^(-9)</f>
        <v>2.2761454637999997E-2</v>
      </c>
      <c r="V563" s="2">
        <f>Table1[[#This Row],[Annual Emissions (MMTCO2)]]*40</f>
        <v>0.91045818551999991</v>
      </c>
      <c r="W563"/>
      <c r="X563">
        <v>20</v>
      </c>
      <c r="Y563"/>
      <c r="Z563" s="1"/>
      <c r="AA563" s="1"/>
    </row>
    <row r="564" spans="1:27" ht="27" hidden="1" customHeight="1">
      <c r="A564" t="s">
        <v>14</v>
      </c>
      <c r="B564" t="s">
        <v>1019</v>
      </c>
      <c r="C564" t="s">
        <v>14</v>
      </c>
      <c r="D564" s="6">
        <v>200000000</v>
      </c>
      <c r="E564"/>
      <c r="F564"/>
      <c r="G564"/>
      <c r="H564" t="s">
        <v>1617</v>
      </c>
      <c r="I564" t="s">
        <v>1800</v>
      </c>
      <c r="J564" s="28">
        <v>42145</v>
      </c>
      <c r="K564" t="s">
        <v>993</v>
      </c>
      <c r="L564" t="s">
        <v>166</v>
      </c>
      <c r="M564"/>
      <c r="N564"/>
      <c r="O564"/>
      <c r="P564"/>
      <c r="Q564" t="s">
        <v>634</v>
      </c>
      <c r="R564" t="s">
        <v>1474</v>
      </c>
      <c r="S564" t="s">
        <v>703</v>
      </c>
      <c r="T564">
        <f>200/6</f>
        <v>33.333333333333336</v>
      </c>
      <c r="U564" s="2">
        <f>Table1[[#This Row],[Coal Power Plant Size (MW) or Share]]*0.593*9057*211.9*10^(-9)</f>
        <v>3.7935757729999998E-2</v>
      </c>
      <c r="V564" s="2">
        <f>Table1[[#This Row],[Annual Emissions (MMTCO2)]]*40</f>
        <v>1.5174303091999999</v>
      </c>
      <c r="W564"/>
      <c r="X564">
        <f>200/6</f>
        <v>33.333333333333336</v>
      </c>
      <c r="Y564"/>
      <c r="Z564" s="1"/>
      <c r="AA564" s="1"/>
    </row>
    <row r="565" spans="1:27" ht="27" hidden="1" customHeight="1">
      <c r="A565" t="s">
        <v>14</v>
      </c>
      <c r="B565" t="s">
        <v>1019</v>
      </c>
      <c r="C565" t="s">
        <v>14</v>
      </c>
      <c r="D565" s="6">
        <v>200000000</v>
      </c>
      <c r="E565"/>
      <c r="F565"/>
      <c r="G565"/>
      <c r="H565" t="s">
        <v>1618</v>
      </c>
      <c r="I565" t="s">
        <v>1801</v>
      </c>
      <c r="J565" s="28">
        <v>42145</v>
      </c>
      <c r="K565" t="s">
        <v>993</v>
      </c>
      <c r="L565" t="s">
        <v>166</v>
      </c>
      <c r="M565"/>
      <c r="N565"/>
      <c r="O565"/>
      <c r="P565"/>
      <c r="Q565" t="s">
        <v>634</v>
      </c>
      <c r="R565" t="s">
        <v>1474</v>
      </c>
      <c r="S565" t="s">
        <v>703</v>
      </c>
      <c r="T565">
        <f>150/6</f>
        <v>25</v>
      </c>
      <c r="U565" s="2">
        <f>Table1[[#This Row],[Coal Power Plant Size (MW) or Share]]*0.593*9057*211.9*10^(-9)</f>
        <v>2.8451818297500001E-2</v>
      </c>
      <c r="V565" s="2">
        <f>Table1[[#This Row],[Annual Emissions (MMTCO2)]]*40</f>
        <v>1.1380727318999999</v>
      </c>
      <c r="W565"/>
      <c r="X565">
        <f>150/6</f>
        <v>25</v>
      </c>
      <c r="Y565"/>
      <c r="Z565" s="1"/>
      <c r="AA565" s="1"/>
    </row>
    <row r="566" spans="1:27" ht="27" hidden="1" customHeight="1">
      <c r="A566" t="s">
        <v>14</v>
      </c>
      <c r="B566" t="s">
        <v>199</v>
      </c>
      <c r="C566" t="s">
        <v>14</v>
      </c>
      <c r="D566" s="6">
        <v>175760000</v>
      </c>
      <c r="E566"/>
      <c r="F566"/>
      <c r="G566"/>
      <c r="H566" t="s">
        <v>1622</v>
      </c>
      <c r="I566" t="s">
        <v>1854</v>
      </c>
      <c r="J566" s="28">
        <v>42159</v>
      </c>
      <c r="K566" t="s">
        <v>992</v>
      </c>
      <c r="L566" t="s">
        <v>200</v>
      </c>
      <c r="M566"/>
      <c r="N566"/>
      <c r="O566"/>
      <c r="P566"/>
      <c r="Q566" t="s">
        <v>634</v>
      </c>
      <c r="R566" t="s">
        <v>1469</v>
      </c>
      <c r="S566" t="s">
        <v>703</v>
      </c>
      <c r="T566">
        <v>111</v>
      </c>
      <c r="U566" s="2">
        <f>Table1[[#This Row],[Coal Power Plant Size (MW) or Share]]*0.593*9057*211.9*10^(-9)</f>
        <v>0.12632607324090001</v>
      </c>
      <c r="V566" s="2">
        <f>Table1[[#This Row],[Annual Emissions (MMTCO2)]]*40</f>
        <v>5.0530429296359998</v>
      </c>
      <c r="W566"/>
      <c r="X566">
        <v>111</v>
      </c>
      <c r="Y566"/>
      <c r="Z566" s="1"/>
      <c r="AA566" s="1"/>
    </row>
    <row r="567" spans="1:27" ht="27" hidden="1" customHeight="1">
      <c r="A567" t="s">
        <v>14</v>
      </c>
      <c r="B567" t="s">
        <v>566</v>
      </c>
      <c r="C567" t="s">
        <v>14</v>
      </c>
      <c r="D567" s="6">
        <v>14550000</v>
      </c>
      <c r="E567" t="s">
        <v>1996</v>
      </c>
      <c r="F567"/>
      <c r="G567"/>
      <c r="H567" t="s">
        <v>1998</v>
      </c>
      <c r="I567" t="s">
        <v>1887</v>
      </c>
      <c r="J567" s="28">
        <v>42164</v>
      </c>
      <c r="K567" t="s">
        <v>1451</v>
      </c>
      <c r="L567" t="s">
        <v>93</v>
      </c>
      <c r="M567" t="s">
        <v>1299</v>
      </c>
      <c r="N567"/>
      <c r="O567" t="s">
        <v>1997</v>
      </c>
      <c r="P567"/>
      <c r="Q567" t="s">
        <v>634</v>
      </c>
      <c r="R567" t="s">
        <v>635</v>
      </c>
      <c r="S567" t="s">
        <v>703</v>
      </c>
      <c r="T567"/>
      <c r="U567" s="2">
        <f>Table1[[#This Row],[Coal Power Plant Size (MW) or Share]]*0.593*9057*211.9*10^(-9)</f>
        <v>0</v>
      </c>
      <c r="V567" s="2">
        <f>Table1[[#This Row],[Annual Emissions (MMTCO2)]]*40</f>
        <v>0</v>
      </c>
      <c r="W567"/>
      <c r="X567">
        <f>50/4</f>
        <v>12.5</v>
      </c>
      <c r="Y567"/>
      <c r="Z567" s="1"/>
      <c r="AA567" s="1"/>
    </row>
    <row r="568" spans="1:27" ht="27" hidden="1" customHeight="1">
      <c r="A568" t="s">
        <v>14</v>
      </c>
      <c r="B568" t="s">
        <v>92</v>
      </c>
      <c r="C568" t="s">
        <v>14</v>
      </c>
      <c r="D568" s="6">
        <v>78360000</v>
      </c>
      <c r="E568" t="s">
        <v>1996</v>
      </c>
      <c r="F568"/>
      <c r="G568"/>
      <c r="H568" t="s">
        <v>1998</v>
      </c>
      <c r="I568" t="s">
        <v>1887</v>
      </c>
      <c r="J568" s="28">
        <v>42164</v>
      </c>
      <c r="K568" t="s">
        <v>1451</v>
      </c>
      <c r="L568" t="s">
        <v>93</v>
      </c>
      <c r="M568" t="s">
        <v>1299</v>
      </c>
      <c r="N568"/>
      <c r="O568" t="s">
        <v>1997</v>
      </c>
      <c r="P568"/>
      <c r="Q568" t="s">
        <v>634</v>
      </c>
      <c r="R568" t="s">
        <v>635</v>
      </c>
      <c r="S568" t="s">
        <v>703</v>
      </c>
      <c r="T568"/>
      <c r="U568" s="2">
        <f>Table1[[#This Row],[Coal Power Plant Size (MW) or Share]]*0.593*9057*211.9*10^(-9)</f>
        <v>0</v>
      </c>
      <c r="V568" s="2">
        <f>Table1[[#This Row],[Annual Emissions (MMTCO2)]]*40</f>
        <v>0</v>
      </c>
      <c r="W568"/>
      <c r="X568">
        <f>50/4</f>
        <v>12.5</v>
      </c>
      <c r="Y568"/>
      <c r="Z568" s="1"/>
      <c r="AA568" s="1"/>
    </row>
    <row r="569" spans="1:27" ht="27" hidden="1" customHeight="1">
      <c r="A569" t="s">
        <v>14</v>
      </c>
      <c r="B569" t="s">
        <v>561</v>
      </c>
      <c r="C569" t="s">
        <v>14</v>
      </c>
      <c r="D569" s="6">
        <v>30000000</v>
      </c>
      <c r="E569"/>
      <c r="F569"/>
      <c r="G569"/>
      <c r="H569" t="s">
        <v>1706</v>
      </c>
      <c r="I569" t="s">
        <v>1849</v>
      </c>
      <c r="J569" s="28">
        <v>42167</v>
      </c>
      <c r="K569" t="s">
        <v>990</v>
      </c>
      <c r="L569" t="s">
        <v>1503</v>
      </c>
      <c r="M569"/>
      <c r="N569"/>
      <c r="O569"/>
      <c r="P569"/>
      <c r="Q569" t="s">
        <v>634</v>
      </c>
      <c r="R569" t="s">
        <v>635</v>
      </c>
      <c r="S569" t="s">
        <v>703</v>
      </c>
      <c r="T569">
        <v>70</v>
      </c>
      <c r="U569" s="2">
        <f>Table1[[#This Row],[Coal Power Plant Size (MW) or Share]]*0.593*9057*211.9*10^(-9)</f>
        <v>7.9665091233000015E-2</v>
      </c>
      <c r="V569" s="2">
        <f>Table1[[#This Row],[Annual Emissions (MMTCO2)]]*40</f>
        <v>3.1866036493200007</v>
      </c>
      <c r="W569"/>
      <c r="X569">
        <v>70</v>
      </c>
      <c r="Y569"/>
      <c r="Z569" s="1"/>
      <c r="AA569" s="1"/>
    </row>
    <row r="570" spans="1:27" ht="27" hidden="1" customHeight="1">
      <c r="A570" t="s">
        <v>14</v>
      </c>
      <c r="B570" t="s">
        <v>92</v>
      </c>
      <c r="C570" t="s">
        <v>14</v>
      </c>
      <c r="D570" s="6">
        <v>200000000</v>
      </c>
      <c r="E570" t="s">
        <v>576</v>
      </c>
      <c r="F570"/>
      <c r="G570"/>
      <c r="H570" t="s">
        <v>600</v>
      </c>
      <c r="I570" t="s">
        <v>666</v>
      </c>
      <c r="J570" s="28">
        <v>42184</v>
      </c>
      <c r="K570" t="s">
        <v>992</v>
      </c>
      <c r="L570" t="s">
        <v>219</v>
      </c>
      <c r="M570"/>
      <c r="N570"/>
      <c r="O570"/>
      <c r="P570"/>
      <c r="Q570" t="s">
        <v>634</v>
      </c>
      <c r="R570" t="s">
        <v>638</v>
      </c>
      <c r="S570" t="s">
        <v>646</v>
      </c>
      <c r="T570">
        <v>170</v>
      </c>
      <c r="U570" s="2">
        <f>Table1[[#This Row],[Coal Power Plant Size (MW) or Share]]*0.593*9057*211.9*10^(-9)</f>
        <v>0.19347236442300003</v>
      </c>
      <c r="V570" s="2">
        <f>Table1[[#This Row],[Annual Emissions (MMTCO2)]]*40</f>
        <v>7.7388945769200017</v>
      </c>
      <c r="W570"/>
      <c r="X570">
        <v>170</v>
      </c>
      <c r="Y570"/>
      <c r="Z570" s="1"/>
      <c r="AA570" s="1"/>
    </row>
    <row r="571" spans="1:27" ht="27" hidden="1" customHeight="1">
      <c r="A571" t="s">
        <v>14</v>
      </c>
      <c r="B571" t="s">
        <v>92</v>
      </c>
      <c r="C571" t="s">
        <v>14</v>
      </c>
      <c r="D571" s="6">
        <v>13740000</v>
      </c>
      <c r="E571"/>
      <c r="F571"/>
      <c r="G571"/>
      <c r="H571" t="s">
        <v>1613</v>
      </c>
      <c r="I571" t="s">
        <v>1860</v>
      </c>
      <c r="J571" s="28">
        <v>42185</v>
      </c>
      <c r="K571" t="s">
        <v>992</v>
      </c>
      <c r="L571" t="s">
        <v>112</v>
      </c>
      <c r="M571"/>
      <c r="N571"/>
      <c r="O571"/>
      <c r="P571"/>
      <c r="Q571" t="s">
        <v>634</v>
      </c>
      <c r="R571" t="s">
        <v>636</v>
      </c>
      <c r="S571" t="s">
        <v>703</v>
      </c>
      <c r="T571">
        <f>48/2</f>
        <v>24</v>
      </c>
      <c r="U571" s="2">
        <f>Table1[[#This Row],[Coal Power Plant Size (MW) or Share]]*0.593*9057*211.9*10^(-9)</f>
        <v>2.7313745565599998E-2</v>
      </c>
      <c r="V571" s="2">
        <f>Table1[[#This Row],[Annual Emissions (MMTCO2)]]*40</f>
        <v>1.092549822624</v>
      </c>
      <c r="W571"/>
      <c r="X571">
        <f>48/2</f>
        <v>24</v>
      </c>
      <c r="Y571"/>
      <c r="Z571" s="1"/>
      <c r="AA571" s="1"/>
    </row>
    <row r="572" spans="1:27" ht="27" hidden="1" customHeight="1">
      <c r="A572" t="s">
        <v>14</v>
      </c>
      <c r="B572" t="s">
        <v>92</v>
      </c>
      <c r="C572" t="s">
        <v>14</v>
      </c>
      <c r="D572" s="6">
        <v>1690000</v>
      </c>
      <c r="E572"/>
      <c r="F572"/>
      <c r="G572"/>
      <c r="H572" t="s">
        <v>1613</v>
      </c>
      <c r="I572" t="s">
        <v>1860</v>
      </c>
      <c r="J572" s="28">
        <v>42185</v>
      </c>
      <c r="K572" t="s">
        <v>992</v>
      </c>
      <c r="L572" t="s">
        <v>112</v>
      </c>
      <c r="M572"/>
      <c r="N572"/>
      <c r="O572"/>
      <c r="P572"/>
      <c r="Q572" t="s">
        <v>634</v>
      </c>
      <c r="R572" t="s">
        <v>636</v>
      </c>
      <c r="S572" t="s">
        <v>703</v>
      </c>
      <c r="T572">
        <f>48/2</f>
        <v>24</v>
      </c>
      <c r="U572" s="2">
        <f>Table1[[#This Row],[Coal Power Plant Size (MW) or Share]]*0.593*9057*211.9*10^(-9)</f>
        <v>2.7313745565599998E-2</v>
      </c>
      <c r="V572" s="2">
        <f>Table1[[#This Row],[Annual Emissions (MMTCO2)]]*40</f>
        <v>1.092549822624</v>
      </c>
      <c r="W572"/>
      <c r="X572">
        <f>48/2</f>
        <v>24</v>
      </c>
      <c r="Y572"/>
      <c r="Z572" s="1"/>
      <c r="AA572" s="1"/>
    </row>
    <row r="573" spans="1:27" ht="27" hidden="1" customHeight="1">
      <c r="A573" t="s">
        <v>14</v>
      </c>
      <c r="B573" t="s">
        <v>92</v>
      </c>
      <c r="C573" t="s">
        <v>14</v>
      </c>
      <c r="D573" s="6">
        <v>54110000</v>
      </c>
      <c r="E573"/>
      <c r="F573"/>
      <c r="G573"/>
      <c r="H573" t="s">
        <v>1574</v>
      </c>
      <c r="I573" t="s">
        <v>1871</v>
      </c>
      <c r="J573" s="28">
        <v>42191</v>
      </c>
      <c r="K573" t="s">
        <v>992</v>
      </c>
      <c r="L573" t="s">
        <v>792</v>
      </c>
      <c r="M573"/>
      <c r="N573"/>
      <c r="O573"/>
      <c r="P573"/>
      <c r="Q573" t="s">
        <v>634</v>
      </c>
      <c r="R573" t="s">
        <v>636</v>
      </c>
      <c r="S573" t="s">
        <v>703</v>
      </c>
      <c r="T573">
        <f>72/2</f>
        <v>36</v>
      </c>
      <c r="U573" s="2">
        <f>Table1[[#This Row],[Coal Power Plant Size (MW) or Share]]*0.593*9057*211.9*10^(-9)</f>
        <v>4.0970618348399997E-2</v>
      </c>
      <c r="V573" s="2">
        <f>Table1[[#This Row],[Annual Emissions (MMTCO2)]]*40</f>
        <v>1.6388247339359998</v>
      </c>
      <c r="W573"/>
      <c r="X573">
        <f>72/2</f>
        <v>36</v>
      </c>
      <c r="Y573"/>
      <c r="Z573" s="1"/>
      <c r="AA573" s="1"/>
    </row>
    <row r="574" spans="1:27" ht="27" hidden="1" customHeight="1">
      <c r="A574" t="s">
        <v>14</v>
      </c>
      <c r="B574" t="s">
        <v>199</v>
      </c>
      <c r="C574" t="s">
        <v>14</v>
      </c>
      <c r="D574" s="6">
        <v>155000000</v>
      </c>
      <c r="E574"/>
      <c r="F574"/>
      <c r="G574"/>
      <c r="H574" t="s">
        <v>1614</v>
      </c>
      <c r="I574" t="s">
        <v>1757</v>
      </c>
      <c r="J574" s="28">
        <v>42201</v>
      </c>
      <c r="K574" t="s">
        <v>993</v>
      </c>
      <c r="L574" t="s">
        <v>225</v>
      </c>
      <c r="M574"/>
      <c r="N574"/>
      <c r="O574"/>
      <c r="P574"/>
      <c r="Q574" t="s">
        <v>634</v>
      </c>
      <c r="R574" t="s">
        <v>1474</v>
      </c>
      <c r="S574" t="s">
        <v>703</v>
      </c>
      <c r="T574">
        <f>121/2</f>
        <v>60.5</v>
      </c>
      <c r="U574" s="2">
        <f>Table1[[#This Row],[Coal Power Plant Size (MW) or Share]]*0.593*9057*211.9*10^(-9)</f>
        <v>6.8853400279950003E-2</v>
      </c>
      <c r="V574" s="2">
        <f>Table1[[#This Row],[Annual Emissions (MMTCO2)]]*40</f>
        <v>2.7541360111980002</v>
      </c>
      <c r="W574"/>
      <c r="X574">
        <f>121/2</f>
        <v>60.5</v>
      </c>
      <c r="Y574"/>
      <c r="Z574" s="1"/>
      <c r="AA574" s="1"/>
    </row>
    <row r="575" spans="1:27" ht="27" hidden="1" customHeight="1">
      <c r="A575" t="s">
        <v>14</v>
      </c>
      <c r="B575" t="s">
        <v>199</v>
      </c>
      <c r="C575" t="s">
        <v>14</v>
      </c>
      <c r="D575" s="6">
        <v>277910000</v>
      </c>
      <c r="E575"/>
      <c r="F575"/>
      <c r="G575"/>
      <c r="H575" t="s">
        <v>1511</v>
      </c>
      <c r="I575" t="s">
        <v>1767</v>
      </c>
      <c r="J575" s="28">
        <v>42300</v>
      </c>
      <c r="K575" t="s">
        <v>992</v>
      </c>
      <c r="L575" t="s">
        <v>1512</v>
      </c>
      <c r="M575"/>
      <c r="N575"/>
      <c r="O575"/>
      <c r="P575"/>
      <c r="Q575" t="s">
        <v>634</v>
      </c>
      <c r="R575" t="s">
        <v>1469</v>
      </c>
      <c r="S575" t="s">
        <v>703</v>
      </c>
      <c r="T575">
        <v>165</v>
      </c>
      <c r="U575" s="2">
        <f>Table1[[#This Row],[Coal Power Plant Size (MW) or Share]]*0.593*9057*211.9*10^(-9)</f>
        <v>0.18778200076350002</v>
      </c>
      <c r="V575" s="2">
        <f>Table1[[#This Row],[Annual Emissions (MMTCO2)]]*40</f>
        <v>7.5112800305400009</v>
      </c>
      <c r="W575"/>
      <c r="X575">
        <v>165</v>
      </c>
      <c r="Y575"/>
      <c r="Z575" s="1"/>
      <c r="AA575" s="1"/>
    </row>
    <row r="576" spans="1:27" ht="27" hidden="1" customHeight="1">
      <c r="A576" t="s">
        <v>14</v>
      </c>
      <c r="B576" t="s">
        <v>199</v>
      </c>
      <c r="C576" t="s">
        <v>14</v>
      </c>
      <c r="D576" s="6">
        <v>344730000</v>
      </c>
      <c r="E576"/>
      <c r="F576"/>
      <c r="G576"/>
      <c r="H576" t="s">
        <v>1542</v>
      </c>
      <c r="I576" t="s">
        <v>1850</v>
      </c>
      <c r="J576" s="28">
        <v>42307</v>
      </c>
      <c r="K576" t="s">
        <v>992</v>
      </c>
      <c r="L576" t="s">
        <v>392</v>
      </c>
      <c r="M576" t="s">
        <v>1529</v>
      </c>
      <c r="N576"/>
      <c r="O576"/>
      <c r="P576"/>
      <c r="Q576" t="s">
        <v>634</v>
      </c>
      <c r="R576" t="s">
        <v>1469</v>
      </c>
      <c r="S576" t="s">
        <v>703</v>
      </c>
      <c r="T576">
        <v>336</v>
      </c>
      <c r="U576" s="2">
        <f>Table1[[#This Row],[Coal Power Plant Size (MW) or Share]]*0.593*9057*211.9*10^(-9)</f>
        <v>0.3823924379184</v>
      </c>
      <c r="V576" s="2">
        <f>Table1[[#This Row],[Annual Emissions (MMTCO2)]]*40</f>
        <v>15.295697516736</v>
      </c>
      <c r="W576"/>
      <c r="X576">
        <v>336</v>
      </c>
      <c r="Y576"/>
      <c r="Z576" s="1"/>
      <c r="AA576" s="1"/>
    </row>
    <row r="577" spans="1:27" ht="27" hidden="1" customHeight="1">
      <c r="A577" t="s">
        <v>14</v>
      </c>
      <c r="B577" t="s">
        <v>561</v>
      </c>
      <c r="C577" t="s">
        <v>14</v>
      </c>
      <c r="D577" s="6">
        <v>31000000</v>
      </c>
      <c r="E577" t="s">
        <v>663</v>
      </c>
      <c r="F577"/>
      <c r="G577"/>
      <c r="H577" t="s">
        <v>664</v>
      </c>
      <c r="I577" t="s">
        <v>662</v>
      </c>
      <c r="J577" s="28">
        <v>42317</v>
      </c>
      <c r="K577" t="s">
        <v>989</v>
      </c>
      <c r="L577" t="s">
        <v>26</v>
      </c>
      <c r="M577" t="s">
        <v>631</v>
      </c>
      <c r="N577"/>
      <c r="O577"/>
      <c r="P577"/>
      <c r="Q577" t="s">
        <v>634</v>
      </c>
      <c r="R577" t="s">
        <v>635</v>
      </c>
      <c r="S577" t="s">
        <v>703</v>
      </c>
      <c r="T577">
        <f>130/2</f>
        <v>65</v>
      </c>
      <c r="U577" s="2">
        <f>Table1[[#This Row],[Coal Power Plant Size (MW) or Share]]*0.593*9057*211.9*10^(-9)</f>
        <v>7.3974727573500015E-2</v>
      </c>
      <c r="V577" s="2">
        <f>Table1[[#This Row],[Annual Emissions (MMTCO2)]]*40</f>
        <v>2.9589891029400004</v>
      </c>
      <c r="W577"/>
      <c r="X577">
        <f>130/2</f>
        <v>65</v>
      </c>
      <c r="Y577"/>
      <c r="Z577" s="1"/>
      <c r="AA577" s="1"/>
    </row>
    <row r="578" spans="1:27" ht="27" hidden="1" customHeight="1">
      <c r="A578" t="s">
        <v>14</v>
      </c>
      <c r="B578" t="s">
        <v>561</v>
      </c>
      <c r="C578" t="s">
        <v>14</v>
      </c>
      <c r="D578" s="6">
        <v>80000000</v>
      </c>
      <c r="E578" t="s">
        <v>663</v>
      </c>
      <c r="F578"/>
      <c r="G578"/>
      <c r="H578" t="s">
        <v>664</v>
      </c>
      <c r="I578" t="s">
        <v>662</v>
      </c>
      <c r="J578" s="28">
        <v>42317</v>
      </c>
      <c r="K578" t="s">
        <v>989</v>
      </c>
      <c r="L578" t="s">
        <v>26</v>
      </c>
      <c r="M578" t="s">
        <v>631</v>
      </c>
      <c r="N578"/>
      <c r="O578"/>
      <c r="P578"/>
      <c r="Q578" t="s">
        <v>634</v>
      </c>
      <c r="R578" t="s">
        <v>635</v>
      </c>
      <c r="S578" t="s">
        <v>703</v>
      </c>
      <c r="T578">
        <f>130/2</f>
        <v>65</v>
      </c>
      <c r="U578" s="2">
        <f>Table1[[#This Row],[Coal Power Plant Size (MW) or Share]]*0.593*9057*211.9*10^(-9)</f>
        <v>7.3974727573500015E-2</v>
      </c>
      <c r="V578" s="2">
        <f>Table1[[#This Row],[Annual Emissions (MMTCO2)]]*40</f>
        <v>2.9589891029400004</v>
      </c>
      <c r="W578"/>
      <c r="X578">
        <f>130/2</f>
        <v>65</v>
      </c>
      <c r="Y578"/>
      <c r="Z578" s="1"/>
      <c r="AA578" s="1"/>
    </row>
    <row r="579" spans="1:27" ht="27" hidden="1" customHeight="1">
      <c r="A579" t="s">
        <v>14</v>
      </c>
      <c r="B579" t="s">
        <v>566</v>
      </c>
      <c r="C579" t="s">
        <v>14</v>
      </c>
      <c r="D579" s="6">
        <v>10620000</v>
      </c>
      <c r="E579"/>
      <c r="F579"/>
      <c r="G579"/>
      <c r="H579" t="s">
        <v>1571</v>
      </c>
      <c r="I579" t="s">
        <v>1894</v>
      </c>
      <c r="J579" s="28">
        <v>42334</v>
      </c>
      <c r="K579" t="s">
        <v>993</v>
      </c>
      <c r="L579" t="s">
        <v>166</v>
      </c>
      <c r="M579"/>
      <c r="N579"/>
      <c r="O579"/>
      <c r="P579"/>
      <c r="Q579" t="s">
        <v>634</v>
      </c>
      <c r="R579" t="s">
        <v>636</v>
      </c>
      <c r="S579" t="s">
        <v>703</v>
      </c>
      <c r="T579">
        <f>120/2</f>
        <v>60</v>
      </c>
      <c r="U579" s="2">
        <f>Table1[[#This Row],[Coal Power Plant Size (MW) or Share]]*0.593*9057*211.9*10^(-9)</f>
        <v>6.8284363914000015E-2</v>
      </c>
      <c r="V579" s="2">
        <f>Table1[[#This Row],[Annual Emissions (MMTCO2)]]*40</f>
        <v>2.7313745565600005</v>
      </c>
      <c r="W579"/>
      <c r="X579">
        <f>120/2</f>
        <v>60</v>
      </c>
      <c r="Y579"/>
      <c r="Z579" s="1"/>
      <c r="AA579" s="1"/>
    </row>
    <row r="580" spans="1:27" ht="27" hidden="1" customHeight="1">
      <c r="A580" t="s">
        <v>14</v>
      </c>
      <c r="B580" t="s">
        <v>92</v>
      </c>
      <c r="C580" t="s">
        <v>14</v>
      </c>
      <c r="D580" s="6">
        <v>56300000</v>
      </c>
      <c r="E580"/>
      <c r="F580"/>
      <c r="G580"/>
      <c r="H580" t="s">
        <v>1571</v>
      </c>
      <c r="I580" t="s">
        <v>1894</v>
      </c>
      <c r="J580" s="28">
        <v>42334</v>
      </c>
      <c r="K580" t="s">
        <v>993</v>
      </c>
      <c r="L580" t="s">
        <v>166</v>
      </c>
      <c r="M580"/>
      <c r="N580"/>
      <c r="O580"/>
      <c r="P580"/>
      <c r="Q580" t="s">
        <v>634</v>
      </c>
      <c r="R580" t="s">
        <v>636</v>
      </c>
      <c r="S580" t="s">
        <v>703</v>
      </c>
      <c r="T580">
        <f>120/2</f>
        <v>60</v>
      </c>
      <c r="U580" s="2">
        <f>Table1[[#This Row],[Coal Power Plant Size (MW) or Share]]*0.593*9057*211.9*10^(-9)</f>
        <v>6.8284363914000015E-2</v>
      </c>
      <c r="V580" s="2">
        <f>Table1[[#This Row],[Annual Emissions (MMTCO2)]]*40</f>
        <v>2.7313745565600005</v>
      </c>
      <c r="W580"/>
      <c r="X580">
        <f>120/2</f>
        <v>60</v>
      </c>
      <c r="Y580"/>
      <c r="Z580" s="1"/>
      <c r="AA580" s="1"/>
    </row>
    <row r="581" spans="1:27" ht="27" hidden="1" customHeight="1">
      <c r="A581" t="s">
        <v>14</v>
      </c>
      <c r="B581" t="s">
        <v>199</v>
      </c>
      <c r="C581" t="s">
        <v>14</v>
      </c>
      <c r="D581" s="6">
        <v>73110000</v>
      </c>
      <c r="E581"/>
      <c r="F581"/>
      <c r="G581"/>
      <c r="H581" t="s">
        <v>1541</v>
      </c>
      <c r="I581" t="s">
        <v>1756</v>
      </c>
      <c r="J581" s="28">
        <v>42338</v>
      </c>
      <c r="K581" t="s">
        <v>993</v>
      </c>
      <c r="L581" t="s">
        <v>213</v>
      </c>
      <c r="M581"/>
      <c r="N581"/>
      <c r="O581"/>
      <c r="P581"/>
      <c r="Q581" t="s">
        <v>634</v>
      </c>
      <c r="R581" t="s">
        <v>636</v>
      </c>
      <c r="S581" t="s">
        <v>703</v>
      </c>
      <c r="T581">
        <f>200/3</f>
        <v>66.666666666666671</v>
      </c>
      <c r="U581" s="2">
        <f>Table1[[#This Row],[Coal Power Plant Size (MW) or Share]]*0.593*9057*211.9*10^(-9)</f>
        <v>7.5871515459999997E-2</v>
      </c>
      <c r="V581" s="2">
        <f>Table1[[#This Row],[Annual Emissions (MMTCO2)]]*40</f>
        <v>3.0348606183999998</v>
      </c>
      <c r="W581"/>
      <c r="X581">
        <f>200/3</f>
        <v>66.666666666666671</v>
      </c>
      <c r="Y581"/>
      <c r="Z581" s="1"/>
      <c r="AA581" s="1"/>
    </row>
    <row r="582" spans="1:27" ht="27" hidden="1" customHeight="1">
      <c r="A582" t="s">
        <v>14</v>
      </c>
      <c r="B582" t="s">
        <v>199</v>
      </c>
      <c r="C582" t="s">
        <v>14</v>
      </c>
      <c r="D582" s="6">
        <v>137000000</v>
      </c>
      <c r="E582"/>
      <c r="F582"/>
      <c r="G582"/>
      <c r="H582" t="s">
        <v>1698</v>
      </c>
      <c r="I582" t="s">
        <v>1900</v>
      </c>
      <c r="J582" s="28">
        <v>42352</v>
      </c>
      <c r="K582" t="s">
        <v>992</v>
      </c>
      <c r="L582" t="s">
        <v>1699</v>
      </c>
      <c r="M582"/>
      <c r="N582"/>
      <c r="O582"/>
      <c r="P582"/>
      <c r="Q582" t="s">
        <v>634</v>
      </c>
      <c r="R582" t="s">
        <v>638</v>
      </c>
      <c r="S582" t="s">
        <v>703</v>
      </c>
      <c r="T582">
        <f>90/2</f>
        <v>45</v>
      </c>
      <c r="U582" s="2">
        <f>Table1[[#This Row],[Coal Power Plant Size (MW) or Share]]*0.593*9057*211.9*10^(-9)</f>
        <v>5.1213272935500001E-2</v>
      </c>
      <c r="V582" s="2">
        <f>Table1[[#This Row],[Annual Emissions (MMTCO2)]]*40</f>
        <v>2.0485309174199999</v>
      </c>
      <c r="W582"/>
      <c r="X582">
        <f>90/2</f>
        <v>45</v>
      </c>
      <c r="Y582"/>
      <c r="Z582" s="1"/>
      <c r="AA582" s="1"/>
    </row>
    <row r="583" spans="1:27" ht="27" hidden="1" customHeight="1">
      <c r="A583" t="s">
        <v>14</v>
      </c>
      <c r="B583" t="s">
        <v>87</v>
      </c>
      <c r="C583" t="s">
        <v>14</v>
      </c>
      <c r="D583" s="6">
        <v>150000000</v>
      </c>
      <c r="E583"/>
      <c r="F583"/>
      <c r="G583"/>
      <c r="H583" t="s">
        <v>1525</v>
      </c>
      <c r="I583" t="s">
        <v>1853</v>
      </c>
      <c r="J583" s="28">
        <v>42366</v>
      </c>
      <c r="K583" t="s">
        <v>1452</v>
      </c>
      <c r="L583" t="s">
        <v>45</v>
      </c>
      <c r="M583"/>
      <c r="N583"/>
      <c r="O583"/>
      <c r="P583"/>
      <c r="Q583" t="s">
        <v>634</v>
      </c>
      <c r="R583" t="s">
        <v>1474</v>
      </c>
      <c r="S583" t="s">
        <v>703</v>
      </c>
      <c r="T583">
        <v>50</v>
      </c>
      <c r="U583" s="2">
        <f>Table1[[#This Row],[Coal Power Plant Size (MW) or Share]]*0.593*9057*211.9*10^(-9)</f>
        <v>5.6903636595000001E-2</v>
      </c>
      <c r="V583" s="2">
        <f>Table1[[#This Row],[Annual Emissions (MMTCO2)]]*40</f>
        <v>2.2761454637999998</v>
      </c>
      <c r="W583"/>
      <c r="X583">
        <v>50</v>
      </c>
      <c r="Y583"/>
      <c r="Z583" s="1"/>
      <c r="AA583" s="1"/>
    </row>
    <row r="584" spans="1:27" ht="27" hidden="1" customHeight="1">
      <c r="A584" t="s">
        <v>14</v>
      </c>
      <c r="B584" t="s">
        <v>561</v>
      </c>
      <c r="C584" t="s">
        <v>14</v>
      </c>
      <c r="D584" s="6">
        <v>10000000</v>
      </c>
      <c r="E584" t="s">
        <v>660</v>
      </c>
      <c r="F584"/>
      <c r="G584"/>
      <c r="H584" t="s">
        <v>597</v>
      </c>
      <c r="I584" t="s">
        <v>659</v>
      </c>
      <c r="J584" s="28">
        <v>42397</v>
      </c>
      <c r="K584" t="s">
        <v>991</v>
      </c>
      <c r="L584" t="s">
        <v>98</v>
      </c>
      <c r="M584"/>
      <c r="N584"/>
      <c r="O584"/>
      <c r="P584"/>
      <c r="Q584" t="s">
        <v>634</v>
      </c>
      <c r="R584" t="s">
        <v>635</v>
      </c>
      <c r="S584" t="s">
        <v>703</v>
      </c>
      <c r="T584"/>
      <c r="U584" s="2">
        <f>Table1[[#This Row],[Coal Power Plant Size (MW) or Share]]*0.593*9057*211.9*10^(-9)</f>
        <v>0</v>
      </c>
      <c r="V584" s="2">
        <f>Table1[[#This Row],[Annual Emissions (MMTCO2)]]*40</f>
        <v>0</v>
      </c>
      <c r="W584"/>
      <c r="X584"/>
      <c r="Y584"/>
      <c r="Z584" s="1"/>
      <c r="AA584" s="1"/>
    </row>
    <row r="585" spans="1:27" ht="27" hidden="1" customHeight="1">
      <c r="A585" t="s">
        <v>14</v>
      </c>
      <c r="B585" t="s">
        <v>561</v>
      </c>
      <c r="C585" t="s">
        <v>14</v>
      </c>
      <c r="D585" s="6">
        <v>60000000</v>
      </c>
      <c r="E585" t="s">
        <v>660</v>
      </c>
      <c r="F585"/>
      <c r="G585"/>
      <c r="H585" t="s">
        <v>597</v>
      </c>
      <c r="I585" t="s">
        <v>659</v>
      </c>
      <c r="J585" s="28">
        <v>42397</v>
      </c>
      <c r="K585" t="s">
        <v>991</v>
      </c>
      <c r="L585" t="s">
        <v>98</v>
      </c>
      <c r="M585"/>
      <c r="N585"/>
      <c r="O585"/>
      <c r="P585"/>
      <c r="Q585" t="s">
        <v>634</v>
      </c>
      <c r="R585" t="s">
        <v>635</v>
      </c>
      <c r="S585" t="s">
        <v>703</v>
      </c>
      <c r="T585"/>
      <c r="U585" s="2">
        <f>Table1[[#This Row],[Coal Power Plant Size (MW) or Share]]*0.593*9057*211.9*10^(-9)</f>
        <v>0</v>
      </c>
      <c r="V585" s="2">
        <f>Table1[[#This Row],[Annual Emissions (MMTCO2)]]*40</f>
        <v>0</v>
      </c>
      <c r="W585"/>
      <c r="X585"/>
      <c r="Y585"/>
      <c r="Z585" s="1"/>
      <c r="AA585" s="1"/>
    </row>
    <row r="586" spans="1:27" ht="27" hidden="1" customHeight="1">
      <c r="A586" t="s">
        <v>14</v>
      </c>
      <c r="B586" t="s">
        <v>87</v>
      </c>
      <c r="C586" t="s">
        <v>14</v>
      </c>
      <c r="D586" s="6">
        <v>175000000</v>
      </c>
      <c r="E586"/>
      <c r="F586"/>
      <c r="G586"/>
      <c r="H586" t="s">
        <v>594</v>
      </c>
      <c r="I586" t="s">
        <v>656</v>
      </c>
      <c r="J586" s="28">
        <v>42488</v>
      </c>
      <c r="K586" t="s">
        <v>989</v>
      </c>
      <c r="L586" t="s">
        <v>26</v>
      </c>
      <c r="M586" t="s">
        <v>641</v>
      </c>
      <c r="N586"/>
      <c r="O586"/>
      <c r="P586"/>
      <c r="Q586" t="s">
        <v>634</v>
      </c>
      <c r="R586" t="s">
        <v>637</v>
      </c>
      <c r="S586" t="s">
        <v>703</v>
      </c>
      <c r="T586"/>
      <c r="U586" s="2">
        <f>Table1[[#This Row],[Coal Power Plant Size (MW) or Share]]*0.593*9057*211.9*10^(-9)</f>
        <v>0</v>
      </c>
      <c r="V586" s="2">
        <f>Table1[[#This Row],[Annual Emissions (MMTCO2)]]*40</f>
        <v>0</v>
      </c>
      <c r="W586"/>
      <c r="X586"/>
      <c r="Y586"/>
      <c r="Z586" s="1"/>
      <c r="AA586" s="1"/>
    </row>
    <row r="587" spans="1:27" ht="27" hidden="1" customHeight="1">
      <c r="A587" t="s">
        <v>14</v>
      </c>
      <c r="B587" t="s">
        <v>561</v>
      </c>
      <c r="C587" t="s">
        <v>14</v>
      </c>
      <c r="D587" s="6">
        <v>29500000</v>
      </c>
      <c r="E587" t="s">
        <v>572</v>
      </c>
      <c r="F587"/>
      <c r="G587"/>
      <c r="H587" t="s">
        <v>593</v>
      </c>
      <c r="I587" t="s">
        <v>655</v>
      </c>
      <c r="J587" s="28">
        <v>42501</v>
      </c>
      <c r="K587" t="s">
        <v>989</v>
      </c>
      <c r="L587" t="s">
        <v>26</v>
      </c>
      <c r="M587" t="s">
        <v>628</v>
      </c>
      <c r="N587"/>
      <c r="O587"/>
      <c r="P587"/>
      <c r="Q587" t="s">
        <v>634</v>
      </c>
      <c r="R587" t="s">
        <v>636</v>
      </c>
      <c r="S587" t="s">
        <v>646</v>
      </c>
      <c r="T587">
        <f>98.7/2</f>
        <v>49.35</v>
      </c>
      <c r="U587" s="2">
        <f>Table1[[#This Row],[Coal Power Plant Size (MW) or Share]]*0.593*9057*211.9*10^(-9)</f>
        <v>5.6163889319265012E-2</v>
      </c>
      <c r="V587" s="2">
        <f>Table1[[#This Row],[Annual Emissions (MMTCO2)]]*40</f>
        <v>2.2465555727706006</v>
      </c>
      <c r="W587"/>
      <c r="X587">
        <f>98.7/2</f>
        <v>49.35</v>
      </c>
      <c r="Y587"/>
      <c r="Z587" s="1"/>
      <c r="AA587" s="1"/>
    </row>
    <row r="588" spans="1:27" ht="27" hidden="1" customHeight="1">
      <c r="A588" t="s">
        <v>14</v>
      </c>
      <c r="B588" t="s">
        <v>561</v>
      </c>
      <c r="C588" t="s">
        <v>14</v>
      </c>
      <c r="D588" s="6">
        <v>61900000</v>
      </c>
      <c r="E588" t="s">
        <v>572</v>
      </c>
      <c r="F588"/>
      <c r="G588"/>
      <c r="H588" t="s">
        <v>593</v>
      </c>
      <c r="I588" t="s">
        <v>655</v>
      </c>
      <c r="J588" s="28">
        <v>42501</v>
      </c>
      <c r="K588" t="s">
        <v>989</v>
      </c>
      <c r="L588" t="s">
        <v>26</v>
      </c>
      <c r="M588" t="s">
        <v>628</v>
      </c>
      <c r="N588"/>
      <c r="O588"/>
      <c r="P588"/>
      <c r="Q588" t="s">
        <v>634</v>
      </c>
      <c r="R588" t="s">
        <v>636</v>
      </c>
      <c r="S588" t="s">
        <v>646</v>
      </c>
      <c r="T588">
        <f>98.7/2</f>
        <v>49.35</v>
      </c>
      <c r="U588" s="2">
        <f>Table1[[#This Row],[Coal Power Plant Size (MW) or Share]]*0.593*9057*211.9*10^(-9)</f>
        <v>5.6163889319265012E-2</v>
      </c>
      <c r="V588" s="2">
        <f>Table1[[#This Row],[Annual Emissions (MMTCO2)]]*40</f>
        <v>2.2465555727706006</v>
      </c>
      <c r="W588"/>
      <c r="X588">
        <f>98.7/2</f>
        <v>49.35</v>
      </c>
      <c r="Y588"/>
      <c r="Z588" s="1"/>
      <c r="AA588" s="1"/>
    </row>
    <row r="589" spans="1:27" ht="27" hidden="1" customHeight="1">
      <c r="A589" t="s">
        <v>14</v>
      </c>
      <c r="B589" t="s">
        <v>199</v>
      </c>
      <c r="C589" t="s">
        <v>14</v>
      </c>
      <c r="D589" s="6">
        <v>437790000</v>
      </c>
      <c r="E589"/>
      <c r="F589"/>
      <c r="G589"/>
      <c r="H589" t="s">
        <v>1507</v>
      </c>
      <c r="I589" t="s">
        <v>1758</v>
      </c>
      <c r="J589" s="28">
        <v>42510</v>
      </c>
      <c r="K589" t="s">
        <v>992</v>
      </c>
      <c r="L589" t="s">
        <v>392</v>
      </c>
      <c r="M589" t="s">
        <v>1508</v>
      </c>
      <c r="N589"/>
      <c r="O589"/>
      <c r="P589"/>
      <c r="Q589" t="s">
        <v>634</v>
      </c>
      <c r="R589" t="s">
        <v>1469</v>
      </c>
      <c r="S589" t="s">
        <v>703</v>
      </c>
      <c r="T589">
        <f>588/9</f>
        <v>65.333333333333329</v>
      </c>
      <c r="U589" s="2">
        <f>Table1[[#This Row],[Coal Power Plant Size (MW) or Share]]*0.593*9057*211.9*10^(-9)</f>
        <v>7.4354085150800012E-2</v>
      </c>
      <c r="V589" s="2">
        <f>Table1[[#This Row],[Annual Emissions (MMTCO2)]]*40</f>
        <v>2.9741634060320004</v>
      </c>
      <c r="W589"/>
      <c r="X589">
        <f>588/9</f>
        <v>65.333333333333329</v>
      </c>
      <c r="Y589"/>
      <c r="Z589" s="1"/>
      <c r="AA589" s="1"/>
    </row>
    <row r="590" spans="1:27" ht="27" hidden="1" customHeight="1">
      <c r="A590" t="s">
        <v>14</v>
      </c>
      <c r="B590" t="s">
        <v>199</v>
      </c>
      <c r="C590" t="s">
        <v>14</v>
      </c>
      <c r="D590" s="6">
        <v>328340000</v>
      </c>
      <c r="E590"/>
      <c r="F590"/>
      <c r="G590"/>
      <c r="H590" t="s">
        <v>1507</v>
      </c>
      <c r="I590" t="s">
        <v>1758</v>
      </c>
      <c r="J590" s="28">
        <v>42510</v>
      </c>
      <c r="K590" t="s">
        <v>992</v>
      </c>
      <c r="L590" t="s">
        <v>392</v>
      </c>
      <c r="M590" t="s">
        <v>1508</v>
      </c>
      <c r="N590"/>
      <c r="O590"/>
      <c r="P590"/>
      <c r="Q590" t="s">
        <v>634</v>
      </c>
      <c r="R590" t="s">
        <v>1469</v>
      </c>
      <c r="S590" t="s">
        <v>703</v>
      </c>
      <c r="T590">
        <f>588/9</f>
        <v>65.333333333333329</v>
      </c>
      <c r="U590" s="2">
        <f>Table1[[#This Row],[Coal Power Plant Size (MW) or Share]]*0.593*9057*211.9*10^(-9)</f>
        <v>7.4354085150800012E-2</v>
      </c>
      <c r="V590" s="2">
        <f>Table1[[#This Row],[Annual Emissions (MMTCO2)]]*40</f>
        <v>2.9741634060320004</v>
      </c>
      <c r="W590"/>
      <c r="X590">
        <f>588/9</f>
        <v>65.333333333333329</v>
      </c>
      <c r="Y590"/>
      <c r="Z590" s="1"/>
      <c r="AA590" s="1"/>
    </row>
    <row r="591" spans="1:27" ht="27" hidden="1" customHeight="1">
      <c r="A591" t="s">
        <v>14</v>
      </c>
      <c r="B591" t="s">
        <v>24</v>
      </c>
      <c r="C591" t="s">
        <v>14</v>
      </c>
      <c r="D591" s="6">
        <v>19700000</v>
      </c>
      <c r="E591"/>
      <c r="F591"/>
      <c r="G591"/>
      <c r="H591" t="s">
        <v>1583</v>
      </c>
      <c r="I591" t="s">
        <v>1895</v>
      </c>
      <c r="J591" s="28">
        <v>42545</v>
      </c>
      <c r="K591" t="s">
        <v>990</v>
      </c>
      <c r="L591" t="s">
        <v>20</v>
      </c>
      <c r="M591"/>
      <c r="N591"/>
      <c r="O591"/>
      <c r="P591"/>
      <c r="Q591" t="s">
        <v>634</v>
      </c>
      <c r="R591" t="s">
        <v>635</v>
      </c>
      <c r="S591" t="s">
        <v>703</v>
      </c>
      <c r="T591">
        <f>54/2</f>
        <v>27</v>
      </c>
      <c r="U591" s="2">
        <f>Table1[[#This Row],[Coal Power Plant Size (MW) or Share]]*0.593*9057*211.9*10^(-9)</f>
        <v>3.0727963761299999E-2</v>
      </c>
      <c r="V591" s="2">
        <f>Table1[[#This Row],[Annual Emissions (MMTCO2)]]*40</f>
        <v>1.2291185504519999</v>
      </c>
      <c r="W591"/>
      <c r="X591">
        <f>54/2</f>
        <v>27</v>
      </c>
      <c r="Y591"/>
      <c r="Z591" s="1"/>
      <c r="AA591" s="1"/>
    </row>
    <row r="592" spans="1:27" ht="27" hidden="1" customHeight="1">
      <c r="A592" t="s">
        <v>14</v>
      </c>
      <c r="B592" t="s">
        <v>24</v>
      </c>
      <c r="C592" t="s">
        <v>14</v>
      </c>
      <c r="D592" s="6">
        <v>18000000</v>
      </c>
      <c r="E592"/>
      <c r="F592"/>
      <c r="G592"/>
      <c r="H592" t="s">
        <v>1583</v>
      </c>
      <c r="I592" t="s">
        <v>1895</v>
      </c>
      <c r="J592" s="28">
        <v>42545</v>
      </c>
      <c r="K592" t="s">
        <v>990</v>
      </c>
      <c r="L592" t="s">
        <v>20</v>
      </c>
      <c r="M592"/>
      <c r="N592"/>
      <c r="O592"/>
      <c r="P592"/>
      <c r="Q592" t="s">
        <v>634</v>
      </c>
      <c r="R592" t="s">
        <v>635</v>
      </c>
      <c r="S592" t="s">
        <v>703</v>
      </c>
      <c r="T592">
        <f>54/2</f>
        <v>27</v>
      </c>
      <c r="U592" s="2">
        <f>Table1[[#This Row],[Coal Power Plant Size (MW) or Share]]*0.593*9057*211.9*10^(-9)</f>
        <v>3.0727963761299999E-2</v>
      </c>
      <c r="V592" s="2">
        <f>Table1[[#This Row],[Annual Emissions (MMTCO2)]]*40</f>
        <v>1.2291185504519999</v>
      </c>
      <c r="W592"/>
      <c r="X592">
        <f>54/2</f>
        <v>27</v>
      </c>
      <c r="Y592"/>
      <c r="Z592" s="1"/>
      <c r="AA592" s="1"/>
    </row>
    <row r="593" spans="1:27" ht="27" hidden="1" customHeight="1">
      <c r="A593" t="s">
        <v>14</v>
      </c>
      <c r="B593" t="s">
        <v>566</v>
      </c>
      <c r="C593" t="s">
        <v>14</v>
      </c>
      <c r="D593" s="6">
        <v>53670000</v>
      </c>
      <c r="E593"/>
      <c r="F593"/>
      <c r="G593"/>
      <c r="H593" t="s">
        <v>1616</v>
      </c>
      <c r="I593" t="s">
        <v>1939</v>
      </c>
      <c r="J593" s="28">
        <v>42600</v>
      </c>
      <c r="K593" t="s">
        <v>991</v>
      </c>
      <c r="L593" t="s">
        <v>27</v>
      </c>
      <c r="M593"/>
      <c r="N593"/>
      <c r="O593"/>
      <c r="P593"/>
      <c r="Q593" t="s">
        <v>634</v>
      </c>
      <c r="R593" t="s">
        <v>1538</v>
      </c>
      <c r="S593" t="s">
        <v>703</v>
      </c>
      <c r="T593">
        <f>70/3</f>
        <v>23.333333333333332</v>
      </c>
      <c r="U593" s="2">
        <f>Table1[[#This Row],[Coal Power Plant Size (MW) or Share]]*0.593*9057*211.9*10^(-9)</f>
        <v>2.6555030411000002E-2</v>
      </c>
      <c r="V593" s="2">
        <f>Table1[[#This Row],[Annual Emissions (MMTCO2)]]*40</f>
        <v>1.0622012164400001</v>
      </c>
      <c r="W593"/>
      <c r="X593">
        <f>70/3</f>
        <v>23.333333333333332</v>
      </c>
      <c r="Y593"/>
      <c r="Z593" s="1"/>
      <c r="AA593" s="1"/>
    </row>
    <row r="594" spans="1:27" ht="27" hidden="1" customHeight="1">
      <c r="A594" t="s">
        <v>14</v>
      </c>
      <c r="B594" t="s">
        <v>561</v>
      </c>
      <c r="C594" t="s">
        <v>14</v>
      </c>
      <c r="D594" s="6">
        <v>53670000</v>
      </c>
      <c r="E594"/>
      <c r="F594"/>
      <c r="G594"/>
      <c r="H594" t="s">
        <v>1616</v>
      </c>
      <c r="I594" t="s">
        <v>1939</v>
      </c>
      <c r="J594" s="28">
        <v>42600</v>
      </c>
      <c r="K594" t="s">
        <v>991</v>
      </c>
      <c r="L594" t="s">
        <v>27</v>
      </c>
      <c r="M594"/>
      <c r="N594"/>
      <c r="O594"/>
      <c r="P594"/>
      <c r="Q594" t="s">
        <v>634</v>
      </c>
      <c r="R594" t="s">
        <v>1538</v>
      </c>
      <c r="S594" t="s">
        <v>703</v>
      </c>
      <c r="T594">
        <f>70/3</f>
        <v>23.333333333333332</v>
      </c>
      <c r="U594" s="2">
        <f>Table1[[#This Row],[Coal Power Plant Size (MW) or Share]]*0.593*9057*211.9*10^(-9)</f>
        <v>2.6555030411000002E-2</v>
      </c>
      <c r="V594" s="2">
        <f>Table1[[#This Row],[Annual Emissions (MMTCO2)]]*40</f>
        <v>1.0622012164400001</v>
      </c>
      <c r="W594"/>
      <c r="X594">
        <f>70/3</f>
        <v>23.333333333333332</v>
      </c>
      <c r="Y594"/>
      <c r="Z594" s="1"/>
      <c r="AA594" s="1"/>
    </row>
    <row r="595" spans="1:27" ht="27" hidden="1" customHeight="1">
      <c r="A595" t="s">
        <v>14</v>
      </c>
      <c r="B595" t="s">
        <v>24</v>
      </c>
      <c r="C595" t="s">
        <v>14</v>
      </c>
      <c r="D595" s="6">
        <v>12500000</v>
      </c>
      <c r="E595"/>
      <c r="F595"/>
      <c r="G595"/>
      <c r="H595" t="s">
        <v>1607</v>
      </c>
      <c r="I595" t="s">
        <v>1940</v>
      </c>
      <c r="J595" s="28">
        <v>42625</v>
      </c>
      <c r="K595" t="s">
        <v>990</v>
      </c>
      <c r="L595" t="s">
        <v>1466</v>
      </c>
      <c r="M595"/>
      <c r="N595"/>
      <c r="O595"/>
      <c r="P595"/>
      <c r="Q595" t="s">
        <v>634</v>
      </c>
      <c r="R595" t="s">
        <v>635</v>
      </c>
      <c r="S595" t="s">
        <v>703</v>
      </c>
      <c r="T595">
        <v>19</v>
      </c>
      <c r="U595" s="2">
        <f>Table1[[#This Row],[Coal Power Plant Size (MW) or Share]]*0.593*9057*211.9*10^(-9)</f>
        <v>2.1623381906100001E-2</v>
      </c>
      <c r="V595" s="2">
        <f>Table1[[#This Row],[Annual Emissions (MMTCO2)]]*40</f>
        <v>0.86493527624400002</v>
      </c>
      <c r="W595"/>
      <c r="X595">
        <v>19</v>
      </c>
      <c r="Y595"/>
      <c r="Z595" s="1"/>
      <c r="AA595" s="1"/>
    </row>
    <row r="596" spans="1:27" ht="27" hidden="1" customHeight="1">
      <c r="A596" t="s">
        <v>14</v>
      </c>
      <c r="B596" t="s">
        <v>92</v>
      </c>
      <c r="C596" t="s">
        <v>14</v>
      </c>
      <c r="D596" s="6">
        <v>25000000</v>
      </c>
      <c r="E596"/>
      <c r="F596"/>
      <c r="G596"/>
      <c r="H596" t="s">
        <v>1705</v>
      </c>
      <c r="I596" t="s">
        <v>1892</v>
      </c>
      <c r="J596" s="28">
        <v>42643</v>
      </c>
      <c r="K596" t="s">
        <v>1451</v>
      </c>
      <c r="L596" t="s">
        <v>36</v>
      </c>
      <c r="M596"/>
      <c r="N596"/>
      <c r="O596"/>
      <c r="P596"/>
      <c r="Q596" t="s">
        <v>634</v>
      </c>
      <c r="R596" t="s">
        <v>636</v>
      </c>
      <c r="S596" t="s">
        <v>703</v>
      </c>
      <c r="T596">
        <f>50/2</f>
        <v>25</v>
      </c>
      <c r="U596" s="2">
        <f>Table1[[#This Row],[Coal Power Plant Size (MW) or Share]]*0.593*9057*211.9*10^(-9)</f>
        <v>2.8451818297500001E-2</v>
      </c>
      <c r="V596" s="2">
        <f>Table1[[#This Row],[Annual Emissions (MMTCO2)]]*40</f>
        <v>1.1380727318999999</v>
      </c>
      <c r="W596"/>
      <c r="X596">
        <f>50/2</f>
        <v>25</v>
      </c>
      <c r="Y596"/>
      <c r="Z596" s="1"/>
      <c r="AA596" s="1"/>
    </row>
    <row r="597" spans="1:27" ht="27" hidden="1" customHeight="1">
      <c r="A597" t="s">
        <v>14</v>
      </c>
      <c r="B597" t="s">
        <v>199</v>
      </c>
      <c r="C597" t="s">
        <v>14</v>
      </c>
      <c r="D597" s="6">
        <v>280870000</v>
      </c>
      <c r="E597"/>
      <c r="F597"/>
      <c r="G597"/>
      <c r="H597" t="s">
        <v>1655</v>
      </c>
      <c r="I597" t="s">
        <v>1911</v>
      </c>
      <c r="J597" s="28">
        <v>42646</v>
      </c>
      <c r="K597" t="s">
        <v>992</v>
      </c>
      <c r="L597" t="s">
        <v>1512</v>
      </c>
      <c r="M597"/>
      <c r="N597"/>
      <c r="O597"/>
      <c r="P597"/>
      <c r="Q597" t="s">
        <v>634</v>
      </c>
      <c r="R597" t="s">
        <v>1469</v>
      </c>
      <c r="S597" t="s">
        <v>703</v>
      </c>
      <c r="T597">
        <f>309/3</f>
        <v>103</v>
      </c>
      <c r="U597" s="2">
        <f>Table1[[#This Row],[Coal Power Plant Size (MW) or Share]]*0.593*9057*211.9*10^(-9)</f>
        <v>0.1172214913857</v>
      </c>
      <c r="V597" s="2">
        <f>Table1[[#This Row],[Annual Emissions (MMTCO2)]]*40</f>
        <v>4.6888596554279998</v>
      </c>
      <c r="W597"/>
      <c r="X597">
        <f>309/3</f>
        <v>103</v>
      </c>
      <c r="Y597"/>
      <c r="Z597" s="1"/>
      <c r="AA597" s="1"/>
    </row>
    <row r="598" spans="1:27" ht="27" hidden="1" customHeight="1">
      <c r="A598" t="s">
        <v>14</v>
      </c>
      <c r="B598" t="s">
        <v>199</v>
      </c>
      <c r="C598" t="s">
        <v>14</v>
      </c>
      <c r="D598" s="6">
        <v>56170000</v>
      </c>
      <c r="E598"/>
      <c r="F598"/>
      <c r="G598"/>
      <c r="H598" t="s">
        <v>1655</v>
      </c>
      <c r="I598" t="s">
        <v>1911</v>
      </c>
      <c r="J598" s="28">
        <v>42646</v>
      </c>
      <c r="K598" t="s">
        <v>992</v>
      </c>
      <c r="L598" t="s">
        <v>1512</v>
      </c>
      <c r="M598"/>
      <c r="N598"/>
      <c r="O598"/>
      <c r="P598"/>
      <c r="Q598" t="s">
        <v>634</v>
      </c>
      <c r="R598" t="s">
        <v>1469</v>
      </c>
      <c r="S598" t="s">
        <v>703</v>
      </c>
      <c r="T598">
        <f>309/3</f>
        <v>103</v>
      </c>
      <c r="U598" s="2">
        <f>Table1[[#This Row],[Coal Power Plant Size (MW) or Share]]*0.593*9057*211.9*10^(-9)</f>
        <v>0.1172214913857</v>
      </c>
      <c r="V598" s="2">
        <f>Table1[[#This Row],[Annual Emissions (MMTCO2)]]*40</f>
        <v>4.6888596554279998</v>
      </c>
      <c r="W598"/>
      <c r="X598">
        <f>309/3</f>
        <v>103</v>
      </c>
      <c r="Y598"/>
      <c r="Z598" s="1"/>
      <c r="AA598" s="1"/>
    </row>
    <row r="599" spans="1:27" ht="27" hidden="1" customHeight="1">
      <c r="A599" t="s">
        <v>14</v>
      </c>
      <c r="B599" t="s">
        <v>92</v>
      </c>
      <c r="C599" t="s">
        <v>14</v>
      </c>
      <c r="D599" s="6">
        <v>24000000</v>
      </c>
      <c r="E599"/>
      <c r="F599"/>
      <c r="G599"/>
      <c r="H599" t="s">
        <v>1546</v>
      </c>
      <c r="I599" t="s">
        <v>1877</v>
      </c>
      <c r="J599" s="28">
        <v>42676</v>
      </c>
      <c r="K599" t="s">
        <v>992</v>
      </c>
      <c r="L599" t="s">
        <v>722</v>
      </c>
      <c r="M599"/>
      <c r="N599"/>
      <c r="O599"/>
      <c r="P599"/>
      <c r="Q599" t="s">
        <v>634</v>
      </c>
      <c r="R599" t="s">
        <v>636</v>
      </c>
      <c r="S599" t="s">
        <v>703</v>
      </c>
      <c r="T599">
        <v>20.7</v>
      </c>
      <c r="U599" s="2">
        <f>Table1[[#This Row],[Coal Power Plant Size (MW) or Share]]*0.593*9057*211.9*10^(-9)</f>
        <v>2.355810555033E-2</v>
      </c>
      <c r="V599" s="2">
        <f>Table1[[#This Row],[Annual Emissions (MMTCO2)]]*40</f>
        <v>0.94232422201319999</v>
      </c>
      <c r="W599"/>
      <c r="X599">
        <v>20.7</v>
      </c>
      <c r="Y599"/>
      <c r="Z599" s="1"/>
      <c r="AA599" s="1"/>
    </row>
    <row r="600" spans="1:27" ht="27" hidden="1" customHeight="1">
      <c r="A600" t="s">
        <v>14</v>
      </c>
      <c r="B600" t="s">
        <v>87</v>
      </c>
      <c r="C600" t="s">
        <v>14</v>
      </c>
      <c r="D600" s="6">
        <v>75000000</v>
      </c>
      <c r="E600" t="s">
        <v>571</v>
      </c>
      <c r="F600"/>
      <c r="G600"/>
      <c r="H600" t="s">
        <v>591</v>
      </c>
      <c r="I600" t="s">
        <v>653</v>
      </c>
      <c r="J600" s="28">
        <v>42676</v>
      </c>
      <c r="K600" t="s">
        <v>989</v>
      </c>
      <c r="L600" t="s">
        <v>78</v>
      </c>
      <c r="M600"/>
      <c r="N600"/>
      <c r="O600"/>
      <c r="P600"/>
      <c r="Q600" t="s">
        <v>634</v>
      </c>
      <c r="R600" t="s">
        <v>636</v>
      </c>
      <c r="S600" t="s">
        <v>703</v>
      </c>
      <c r="T600">
        <v>37.5</v>
      </c>
      <c r="U600" s="2">
        <f>Table1[[#This Row],[Coal Power Plant Size (MW) or Share]]*0.593*9057*211.9*10^(-9)</f>
        <v>4.2677727446250001E-2</v>
      </c>
      <c r="V600" s="2">
        <f>Table1[[#This Row],[Annual Emissions (MMTCO2)]]*40</f>
        <v>1.7071090978500001</v>
      </c>
      <c r="W600"/>
      <c r="X600">
        <v>37.5</v>
      </c>
      <c r="Y600"/>
      <c r="Z600" s="1"/>
      <c r="AA600" s="1"/>
    </row>
    <row r="601" spans="1:27" ht="27" hidden="1" customHeight="1">
      <c r="A601" t="s">
        <v>14</v>
      </c>
      <c r="B601" t="s">
        <v>561</v>
      </c>
      <c r="C601" t="s">
        <v>14</v>
      </c>
      <c r="D601" s="6">
        <v>75000000</v>
      </c>
      <c r="E601" t="s">
        <v>571</v>
      </c>
      <c r="F601"/>
      <c r="G601"/>
      <c r="H601" t="s">
        <v>591</v>
      </c>
      <c r="I601" t="s">
        <v>653</v>
      </c>
      <c r="J601" s="28">
        <v>42676</v>
      </c>
      <c r="K601" t="s">
        <v>989</v>
      </c>
      <c r="L601" t="s">
        <v>78</v>
      </c>
      <c r="M601"/>
      <c r="N601"/>
      <c r="O601"/>
      <c r="P601"/>
      <c r="Q601" t="s">
        <v>634</v>
      </c>
      <c r="R601" t="s">
        <v>636</v>
      </c>
      <c r="S601" t="s">
        <v>703</v>
      </c>
      <c r="T601">
        <v>37.5</v>
      </c>
      <c r="U601" s="2">
        <f>Table1[[#This Row],[Coal Power Plant Size (MW) or Share]]*0.593*9057*211.9*10^(-9)</f>
        <v>4.2677727446250001E-2</v>
      </c>
      <c r="V601" s="2">
        <f>Table1[[#This Row],[Annual Emissions (MMTCO2)]]*40</f>
        <v>1.7071090978500001</v>
      </c>
      <c r="W601"/>
      <c r="X601">
        <v>37.5</v>
      </c>
      <c r="Y601"/>
      <c r="Z601" s="1"/>
      <c r="AA601" s="1"/>
    </row>
    <row r="602" spans="1:27" ht="27" hidden="1" customHeight="1">
      <c r="A602" t="s">
        <v>14</v>
      </c>
      <c r="B602" t="s">
        <v>562</v>
      </c>
      <c r="C602" t="s">
        <v>14</v>
      </c>
      <c r="D602" s="6">
        <v>17500000</v>
      </c>
      <c r="E602" t="s">
        <v>571</v>
      </c>
      <c r="F602"/>
      <c r="G602"/>
      <c r="H602" t="s">
        <v>591</v>
      </c>
      <c r="I602" t="s">
        <v>653</v>
      </c>
      <c r="J602" s="28">
        <v>42676</v>
      </c>
      <c r="K602" t="s">
        <v>989</v>
      </c>
      <c r="L602" t="s">
        <v>78</v>
      </c>
      <c r="M602"/>
      <c r="N602"/>
      <c r="O602"/>
      <c r="P602"/>
      <c r="Q602" t="s">
        <v>634</v>
      </c>
      <c r="R602" t="s">
        <v>636</v>
      </c>
      <c r="S602" t="s">
        <v>703</v>
      </c>
      <c r="T602">
        <v>37.5</v>
      </c>
      <c r="U602" s="2">
        <f>Table1[[#This Row],[Coal Power Plant Size (MW) or Share]]*0.593*9057*211.9*10^(-9)</f>
        <v>4.2677727446250001E-2</v>
      </c>
      <c r="V602" s="2">
        <f>Table1[[#This Row],[Annual Emissions (MMTCO2)]]*40</f>
        <v>1.7071090978500001</v>
      </c>
      <c r="W602"/>
      <c r="X602">
        <v>37.5</v>
      </c>
      <c r="Y602"/>
      <c r="Z602" s="1"/>
      <c r="AA602" s="1"/>
    </row>
    <row r="603" spans="1:27" ht="27" hidden="1" customHeight="1">
      <c r="A603" t="s">
        <v>14</v>
      </c>
      <c r="B603" t="s">
        <v>92</v>
      </c>
      <c r="C603" t="s">
        <v>14</v>
      </c>
      <c r="D603" s="6">
        <v>69420000</v>
      </c>
      <c r="E603"/>
      <c r="F603"/>
      <c r="G603"/>
      <c r="H603" t="s">
        <v>1492</v>
      </c>
      <c r="I603" t="s">
        <v>1914</v>
      </c>
      <c r="J603" s="28">
        <v>42681</v>
      </c>
      <c r="K603" t="s">
        <v>993</v>
      </c>
      <c r="L603" t="s">
        <v>1478</v>
      </c>
      <c r="M603"/>
      <c r="N603"/>
      <c r="O603"/>
      <c r="P603"/>
      <c r="Q603" t="s">
        <v>634</v>
      </c>
      <c r="R603" t="s">
        <v>636</v>
      </c>
      <c r="S603" t="s">
        <v>703</v>
      </c>
      <c r="T603">
        <f>82/2</f>
        <v>41</v>
      </c>
      <c r="U603" s="2">
        <f>Table1[[#This Row],[Coal Power Plant Size (MW) or Share]]*0.593*9057*211.9*10^(-9)</f>
        <v>4.6660982007900004E-2</v>
      </c>
      <c r="V603" s="2">
        <f>Table1[[#This Row],[Annual Emissions (MMTCO2)]]*40</f>
        <v>1.8664392803160001</v>
      </c>
      <c r="W603"/>
      <c r="X603">
        <f>82/2</f>
        <v>41</v>
      </c>
      <c r="Y603"/>
      <c r="Z603" s="1"/>
      <c r="AA603" s="1"/>
    </row>
    <row r="604" spans="1:27" ht="27" hidden="1" customHeight="1">
      <c r="A604" t="s">
        <v>14</v>
      </c>
      <c r="B604" t="s">
        <v>24</v>
      </c>
      <c r="C604" t="s">
        <v>14</v>
      </c>
      <c r="D604" s="6">
        <v>55700000</v>
      </c>
      <c r="E604"/>
      <c r="F604"/>
      <c r="G604"/>
      <c r="H604" t="s">
        <v>1674</v>
      </c>
      <c r="I604" t="s">
        <v>1889</v>
      </c>
      <c r="J604" s="28">
        <v>42696</v>
      </c>
      <c r="K604" t="s">
        <v>990</v>
      </c>
      <c r="L604" t="s">
        <v>1466</v>
      </c>
      <c r="M604"/>
      <c r="N604"/>
      <c r="O604"/>
      <c r="P604"/>
      <c r="Q604" t="s">
        <v>634</v>
      </c>
      <c r="R604" t="s">
        <v>635</v>
      </c>
      <c r="S604" t="s">
        <v>703</v>
      </c>
      <c r="T604">
        <f>69.9/2</f>
        <v>34.950000000000003</v>
      </c>
      <c r="U604" s="2">
        <f>Table1[[#This Row],[Coal Power Plant Size (MW) or Share]]*0.593*9057*211.9*10^(-9)</f>
        <v>3.9775641979905012E-2</v>
      </c>
      <c r="V604" s="2">
        <f>Table1[[#This Row],[Annual Emissions (MMTCO2)]]*40</f>
        <v>1.5910256791962005</v>
      </c>
      <c r="W604"/>
      <c r="X604">
        <f>69.9/2</f>
        <v>34.950000000000003</v>
      </c>
      <c r="Y604"/>
      <c r="Z604" s="1"/>
      <c r="AA604" s="1"/>
    </row>
    <row r="605" spans="1:27" ht="27" hidden="1" customHeight="1">
      <c r="A605" t="s">
        <v>14</v>
      </c>
      <c r="B605" t="s">
        <v>199</v>
      </c>
      <c r="C605" t="s">
        <v>14</v>
      </c>
      <c r="D605" s="6">
        <v>212730000</v>
      </c>
      <c r="E605"/>
      <c r="F605"/>
      <c r="G605"/>
      <c r="H605" t="s">
        <v>1624</v>
      </c>
      <c r="I605" t="s">
        <v>1943</v>
      </c>
      <c r="J605" s="28">
        <v>42718</v>
      </c>
      <c r="K605" t="s">
        <v>992</v>
      </c>
      <c r="L605" t="s">
        <v>1512</v>
      </c>
      <c r="M605"/>
      <c r="N605"/>
      <c r="O605"/>
      <c r="P605"/>
      <c r="Q605" t="s">
        <v>634</v>
      </c>
      <c r="R605" t="s">
        <v>1469</v>
      </c>
      <c r="S605" t="s">
        <v>703</v>
      </c>
      <c r="T605">
        <f>370/2</f>
        <v>185</v>
      </c>
      <c r="U605" s="2">
        <f>Table1[[#This Row],[Coal Power Plant Size (MW) or Share]]*0.593*9057*211.9*10^(-9)</f>
        <v>0.21054345540149999</v>
      </c>
      <c r="V605" s="2">
        <f>Table1[[#This Row],[Annual Emissions (MMTCO2)]]*40</f>
        <v>8.4217382160599996</v>
      </c>
      <c r="W605"/>
      <c r="X605">
        <f>370/2</f>
        <v>185</v>
      </c>
      <c r="Y605"/>
      <c r="Z605" s="1"/>
      <c r="AA605" s="1"/>
    </row>
    <row r="606" spans="1:27" ht="27" hidden="1" customHeight="1">
      <c r="A606" t="s">
        <v>14</v>
      </c>
      <c r="B606" t="s">
        <v>199</v>
      </c>
      <c r="C606" t="s">
        <v>14</v>
      </c>
      <c r="D606" s="6">
        <v>20160000</v>
      </c>
      <c r="E606"/>
      <c r="F606"/>
      <c r="G606"/>
      <c r="H606" t="s">
        <v>1624</v>
      </c>
      <c r="I606" t="s">
        <v>1943</v>
      </c>
      <c r="J606" s="28">
        <v>42718</v>
      </c>
      <c r="K606" t="s">
        <v>992</v>
      </c>
      <c r="L606" t="s">
        <v>1512</v>
      </c>
      <c r="M606"/>
      <c r="N606"/>
      <c r="O606"/>
      <c r="P606"/>
      <c r="Q606" t="s">
        <v>634</v>
      </c>
      <c r="R606" t="s">
        <v>1469</v>
      </c>
      <c r="S606" t="s">
        <v>703</v>
      </c>
      <c r="T606">
        <f>370/2</f>
        <v>185</v>
      </c>
      <c r="U606" s="2">
        <f>Table1[[#This Row],[Coal Power Plant Size (MW) or Share]]*0.593*9057*211.9*10^(-9)</f>
        <v>0.21054345540149999</v>
      </c>
      <c r="V606" s="2">
        <f>Table1[[#This Row],[Annual Emissions (MMTCO2)]]*40</f>
        <v>8.4217382160599996</v>
      </c>
      <c r="W606"/>
      <c r="X606">
        <f>370/2</f>
        <v>185</v>
      </c>
      <c r="Y606"/>
      <c r="Z606" s="1"/>
      <c r="AA606" s="1"/>
    </row>
    <row r="607" spans="1:27" ht="27" hidden="1" customHeight="1">
      <c r="A607" t="s">
        <v>14</v>
      </c>
      <c r="B607" t="s">
        <v>561</v>
      </c>
      <c r="C607" t="s">
        <v>14</v>
      </c>
      <c r="D607" s="6">
        <v>76000000</v>
      </c>
      <c r="E607"/>
      <c r="F607"/>
      <c r="G607"/>
      <c r="H607" t="s">
        <v>1514</v>
      </c>
      <c r="I607" t="s">
        <v>1874</v>
      </c>
      <c r="J607" s="28">
        <v>42768</v>
      </c>
      <c r="K607" t="s">
        <v>993</v>
      </c>
      <c r="L607" t="s">
        <v>1478</v>
      </c>
      <c r="M607"/>
      <c r="N607"/>
      <c r="O607"/>
      <c r="P607"/>
      <c r="Q607" t="s">
        <v>634</v>
      </c>
      <c r="R607" t="s">
        <v>635</v>
      </c>
      <c r="S607" t="s">
        <v>703</v>
      </c>
      <c r="T607">
        <f>66.4/2</f>
        <v>33.200000000000003</v>
      </c>
      <c r="U607" s="2">
        <f>Table1[[#This Row],[Coal Power Plant Size (MW) or Share]]*0.593*9057*211.9*10^(-9)</f>
        <v>3.7784014699080007E-2</v>
      </c>
      <c r="V607" s="2">
        <f>Table1[[#This Row],[Annual Emissions (MMTCO2)]]*40</f>
        <v>1.5113605879632002</v>
      </c>
      <c r="W607"/>
      <c r="X607">
        <f>66.4/2</f>
        <v>33.200000000000003</v>
      </c>
      <c r="Y607"/>
      <c r="Z607" s="1"/>
      <c r="AA607" s="1"/>
    </row>
    <row r="608" spans="1:27" ht="27" hidden="1" customHeight="1">
      <c r="A608" t="s">
        <v>14</v>
      </c>
      <c r="B608" t="s">
        <v>561</v>
      </c>
      <c r="C608" t="s">
        <v>14</v>
      </c>
      <c r="D608" s="6">
        <v>2400000</v>
      </c>
      <c r="E608"/>
      <c r="F608"/>
      <c r="G608"/>
      <c r="H608" t="s">
        <v>1514</v>
      </c>
      <c r="I608" t="s">
        <v>1874</v>
      </c>
      <c r="J608" s="28">
        <v>42768</v>
      </c>
      <c r="K608" t="s">
        <v>993</v>
      </c>
      <c r="L608" t="s">
        <v>1478</v>
      </c>
      <c r="M608"/>
      <c r="N608"/>
      <c r="O608"/>
      <c r="P608"/>
      <c r="Q608" t="s">
        <v>634</v>
      </c>
      <c r="R608" t="s">
        <v>635</v>
      </c>
      <c r="S608" t="s">
        <v>703</v>
      </c>
      <c r="T608">
        <f>66.4/2</f>
        <v>33.200000000000003</v>
      </c>
      <c r="U608" s="2">
        <f>Table1[[#This Row],[Coal Power Plant Size (MW) or Share]]*0.593*9057*211.9*10^(-9)</f>
        <v>3.7784014699080007E-2</v>
      </c>
      <c r="V608" s="2">
        <f>Table1[[#This Row],[Annual Emissions (MMTCO2)]]*40</f>
        <v>1.5113605879632002</v>
      </c>
      <c r="W608"/>
      <c r="X608">
        <f>66.4/2</f>
        <v>33.200000000000003</v>
      </c>
      <c r="Y608"/>
      <c r="Z608" s="1"/>
      <c r="AA608" s="1"/>
    </row>
    <row r="609" spans="1:27" ht="27" hidden="1" customHeight="1">
      <c r="A609" t="s">
        <v>14</v>
      </c>
      <c r="B609" t="s">
        <v>92</v>
      </c>
      <c r="C609" t="s">
        <v>14</v>
      </c>
      <c r="D609" s="6">
        <v>35500000</v>
      </c>
      <c r="E609"/>
      <c r="F609"/>
      <c r="G609"/>
      <c r="H609" t="s">
        <v>1533</v>
      </c>
      <c r="I609" t="s">
        <v>1930</v>
      </c>
      <c r="J609" s="28">
        <v>42794</v>
      </c>
      <c r="K609" t="s">
        <v>993</v>
      </c>
      <c r="L609" t="s">
        <v>1478</v>
      </c>
      <c r="M609"/>
      <c r="N609"/>
      <c r="O609"/>
      <c r="P609"/>
      <c r="Q609" t="s">
        <v>634</v>
      </c>
      <c r="R609" t="s">
        <v>635</v>
      </c>
      <c r="S609" t="s">
        <v>703</v>
      </c>
      <c r="T609">
        <v>67</v>
      </c>
      <c r="U609" s="2">
        <f>Table1[[#This Row],[Coal Power Plant Size (MW) or Share]]*0.593*9057*211.9*10^(-9)</f>
        <v>7.6250873037299993E-2</v>
      </c>
      <c r="V609" s="2">
        <f>Table1[[#This Row],[Annual Emissions (MMTCO2)]]*40</f>
        <v>3.0500349214919997</v>
      </c>
      <c r="W609"/>
      <c r="X609">
        <v>67</v>
      </c>
      <c r="Y609"/>
      <c r="Z609" s="1"/>
      <c r="AA609" s="1"/>
    </row>
    <row r="610" spans="1:27" ht="27" hidden="1" customHeight="1">
      <c r="A610" t="s">
        <v>14</v>
      </c>
      <c r="B610" t="s">
        <v>87</v>
      </c>
      <c r="C610" t="s">
        <v>14</v>
      </c>
      <c r="D610" s="6">
        <v>109000000</v>
      </c>
      <c r="E610" t="s">
        <v>1207</v>
      </c>
      <c r="F610"/>
      <c r="G610"/>
      <c r="H610" t="s">
        <v>1208</v>
      </c>
      <c r="I610" t="s">
        <v>1210</v>
      </c>
      <c r="J610" s="28">
        <v>42817</v>
      </c>
      <c r="K610" t="s">
        <v>991</v>
      </c>
      <c r="L610" t="s">
        <v>67</v>
      </c>
      <c r="M610" t="s">
        <v>1209</v>
      </c>
      <c r="N610" t="s">
        <v>1211</v>
      </c>
      <c r="O610" t="s">
        <v>1226</v>
      </c>
      <c r="P610"/>
      <c r="Q610" t="s">
        <v>634</v>
      </c>
      <c r="R610" t="s">
        <v>638</v>
      </c>
      <c r="S610" t="s">
        <v>646</v>
      </c>
      <c r="T610">
        <f>27/3</f>
        <v>9</v>
      </c>
      <c r="U610" s="2">
        <f>Table1[[#This Row],[Coal Power Plant Size (MW) or Share]]*0.593*9057*211.9*10^(-9)</f>
        <v>1.0242654587099999E-2</v>
      </c>
      <c r="V610" s="2">
        <f>Table1[[#This Row],[Annual Emissions (MMTCO2)]]*40</f>
        <v>0.40970618348399995</v>
      </c>
      <c r="W610"/>
      <c r="X610">
        <f>27/3</f>
        <v>9</v>
      </c>
      <c r="Y610"/>
      <c r="Z610" s="1"/>
      <c r="AA610" s="1"/>
    </row>
    <row r="611" spans="1:27" ht="27" hidden="1" customHeight="1">
      <c r="A611" t="s">
        <v>14</v>
      </c>
      <c r="B611" t="s">
        <v>561</v>
      </c>
      <c r="C611" t="s">
        <v>14</v>
      </c>
      <c r="D611" s="6">
        <v>67740000</v>
      </c>
      <c r="E611" t="s">
        <v>2016</v>
      </c>
      <c r="F611"/>
      <c r="G611"/>
      <c r="H611" t="s">
        <v>2015</v>
      </c>
      <c r="I611" t="s">
        <v>2017</v>
      </c>
      <c r="J611" s="28">
        <v>42894</v>
      </c>
      <c r="K611" t="s">
        <v>992</v>
      </c>
      <c r="L611" t="s">
        <v>104</v>
      </c>
      <c r="M611"/>
      <c r="N611"/>
      <c r="O611"/>
      <c r="P611"/>
      <c r="Q611" t="s">
        <v>634</v>
      </c>
      <c r="R611" t="s">
        <v>636</v>
      </c>
      <c r="S611" t="s">
        <v>703</v>
      </c>
      <c r="T611">
        <v>42</v>
      </c>
      <c r="U611" s="2">
        <f>Table1[[#This Row],[Coal Power Plant Size (MW) or Share]]*0.593*9057*211.9*10^(-9)</f>
        <v>4.77990547398E-2</v>
      </c>
      <c r="V611" s="2">
        <f>Table1[[#This Row],[Annual Emissions (MMTCO2)]]*40</f>
        <v>1.911962189592</v>
      </c>
      <c r="W611"/>
      <c r="X611">
        <v>42</v>
      </c>
      <c r="Y611"/>
      <c r="Z611" s="1"/>
      <c r="AA611" s="1"/>
    </row>
    <row r="612" spans="1:27" ht="27" hidden="1" customHeight="1">
      <c r="A612" t="s">
        <v>14</v>
      </c>
      <c r="B612" t="s">
        <v>562</v>
      </c>
      <c r="C612" t="s">
        <v>14</v>
      </c>
      <c r="D612" s="6">
        <v>110000000</v>
      </c>
      <c r="E612"/>
      <c r="F612"/>
      <c r="G612"/>
      <c r="H612" t="s">
        <v>1551</v>
      </c>
      <c r="I612" t="s">
        <v>1883</v>
      </c>
      <c r="J612" s="28">
        <v>42898</v>
      </c>
      <c r="K612" t="s">
        <v>993</v>
      </c>
      <c r="L612" t="s">
        <v>1552</v>
      </c>
      <c r="M612" t="s">
        <v>2002</v>
      </c>
      <c r="N612"/>
      <c r="O612" t="s">
        <v>2003</v>
      </c>
      <c r="P612"/>
      <c r="Q612" t="s">
        <v>634</v>
      </c>
      <c r="R612" t="s">
        <v>635</v>
      </c>
      <c r="S612" t="s">
        <v>476</v>
      </c>
      <c r="T612">
        <f>800/2</f>
        <v>400</v>
      </c>
      <c r="U612" s="2">
        <f>Table1[[#This Row],[Coal Power Plant Size (MW) or Share]]*0.593*9057*211.9*10^(-9)</f>
        <v>0.45522909276000001</v>
      </c>
      <c r="V612" s="2">
        <f>Table1[[#This Row],[Annual Emissions (MMTCO2)]]*40</f>
        <v>18.209163710399999</v>
      </c>
      <c r="W612"/>
      <c r="X612">
        <f>800/2</f>
        <v>400</v>
      </c>
      <c r="Y612"/>
      <c r="Z612" s="1"/>
      <c r="AA612" s="1"/>
    </row>
    <row r="613" spans="1:27" ht="27" hidden="1" customHeight="1">
      <c r="A613" t="s">
        <v>14</v>
      </c>
      <c r="B613" t="s">
        <v>561</v>
      </c>
      <c r="C613" t="s">
        <v>14</v>
      </c>
      <c r="D613" s="6">
        <v>20000000</v>
      </c>
      <c r="E613" t="s">
        <v>1986</v>
      </c>
      <c r="F613"/>
      <c r="G613"/>
      <c r="H613" t="s">
        <v>2001</v>
      </c>
      <c r="I613" t="s">
        <v>1980</v>
      </c>
      <c r="J613" s="28">
        <v>54789</v>
      </c>
      <c r="K613" t="s">
        <v>993</v>
      </c>
      <c r="L613" t="s">
        <v>213</v>
      </c>
      <c r="M613" t="s">
        <v>1981</v>
      </c>
      <c r="N613" t="s">
        <v>1987</v>
      </c>
      <c r="O613" t="s">
        <v>1985</v>
      </c>
      <c r="P613"/>
      <c r="Q613" t="s">
        <v>634</v>
      </c>
      <c r="R613" t="s">
        <v>635</v>
      </c>
      <c r="S613" t="s">
        <v>476</v>
      </c>
      <c r="T613">
        <v>50</v>
      </c>
      <c r="U613" s="2">
        <f>Table1[[#This Row],[Coal Power Plant Size (MW) or Share]]*0.593*9057*211.9*10^(-9)</f>
        <v>5.6903636595000001E-2</v>
      </c>
      <c r="V613" s="2">
        <f>Table1[[#This Row],[Annual Emissions (MMTCO2)]]*40</f>
        <v>2.2761454637999998</v>
      </c>
      <c r="W613"/>
      <c r="X613">
        <v>50</v>
      </c>
      <c r="Y613"/>
      <c r="Z613" s="1"/>
      <c r="AA613" s="1"/>
    </row>
    <row r="614" spans="1:27" ht="27" hidden="1" customHeight="1">
      <c r="A614" t="s">
        <v>14</v>
      </c>
      <c r="B614" t="s">
        <v>561</v>
      </c>
      <c r="C614" t="s">
        <v>14</v>
      </c>
      <c r="D614" s="6">
        <v>20000000</v>
      </c>
      <c r="E614" t="s">
        <v>1986</v>
      </c>
      <c r="F614"/>
      <c r="G614"/>
      <c r="H614" t="s">
        <v>1988</v>
      </c>
      <c r="I614" t="s">
        <v>1980</v>
      </c>
      <c r="J614" s="28">
        <v>54789</v>
      </c>
      <c r="K614" t="s">
        <v>993</v>
      </c>
      <c r="L614" t="s">
        <v>213</v>
      </c>
      <c r="M614" t="s">
        <v>1981</v>
      </c>
      <c r="N614" t="s">
        <v>1987</v>
      </c>
      <c r="O614" t="s">
        <v>1985</v>
      </c>
      <c r="P614"/>
      <c r="Q614" t="s">
        <v>634</v>
      </c>
      <c r="R614" t="s">
        <v>635</v>
      </c>
      <c r="S614" t="s">
        <v>476</v>
      </c>
      <c r="T614">
        <v>50</v>
      </c>
      <c r="U614" s="2">
        <f>Table1[[#This Row],[Coal Power Plant Size (MW) or Share]]*0.593*9057*211.9*10^(-9)</f>
        <v>5.6903636595000001E-2</v>
      </c>
      <c r="V614" s="2">
        <f>Table1[[#This Row],[Annual Emissions (MMTCO2)]]*40</f>
        <v>2.2761454637999998</v>
      </c>
      <c r="W614"/>
      <c r="X614">
        <v>50</v>
      </c>
      <c r="Y614"/>
      <c r="Z614" s="1"/>
      <c r="AA614" s="1"/>
    </row>
    <row r="615" spans="1:27" ht="27" hidden="1" customHeight="1">
      <c r="A615" t="s">
        <v>14</v>
      </c>
      <c r="B615" t="s">
        <v>561</v>
      </c>
      <c r="C615" t="s">
        <v>14</v>
      </c>
      <c r="D615" s="6">
        <v>20000000</v>
      </c>
      <c r="E615" t="s">
        <v>1990</v>
      </c>
      <c r="F615"/>
      <c r="G615"/>
      <c r="H615" t="s">
        <v>1992</v>
      </c>
      <c r="I615" t="s">
        <v>1925</v>
      </c>
      <c r="J615" s="28">
        <v>54789</v>
      </c>
      <c r="K615" t="s">
        <v>993</v>
      </c>
      <c r="L615" t="s">
        <v>213</v>
      </c>
      <c r="M615" t="s">
        <v>1981</v>
      </c>
      <c r="N615"/>
      <c r="O615" t="s">
        <v>1994</v>
      </c>
      <c r="P615"/>
      <c r="Q615" t="s">
        <v>634</v>
      </c>
      <c r="R615" t="s">
        <v>635</v>
      </c>
      <c r="S615" t="s">
        <v>476</v>
      </c>
      <c r="T615">
        <v>50</v>
      </c>
      <c r="U615" s="2">
        <f>Table1[[#This Row],[Coal Power Plant Size (MW) or Share]]*0.593*9057*211.9*10^(-9)</f>
        <v>5.6903636595000001E-2</v>
      </c>
      <c r="V615" s="2">
        <f>Table1[[#This Row],[Annual Emissions (MMTCO2)]]*40</f>
        <v>2.2761454637999998</v>
      </c>
      <c r="W615"/>
      <c r="X615">
        <f>50/3</f>
        <v>16.666666666666668</v>
      </c>
      <c r="Y615"/>
      <c r="Z615" s="1"/>
      <c r="AA615" s="1"/>
    </row>
    <row r="616" spans="1:27" ht="27" hidden="1" customHeight="1">
      <c r="A616" t="s">
        <v>14</v>
      </c>
      <c r="B616" t="s">
        <v>92</v>
      </c>
      <c r="C616" t="s">
        <v>14</v>
      </c>
      <c r="D616" s="6">
        <v>29000000</v>
      </c>
      <c r="E616" t="s">
        <v>1990</v>
      </c>
      <c r="F616"/>
      <c r="G616"/>
      <c r="H616" t="s">
        <v>1992</v>
      </c>
      <c r="I616" t="s">
        <v>1993</v>
      </c>
      <c r="J616" s="28">
        <v>54789</v>
      </c>
      <c r="K616" t="s">
        <v>993</v>
      </c>
      <c r="L616" t="s">
        <v>213</v>
      </c>
      <c r="M616" t="s">
        <v>1981</v>
      </c>
      <c r="N616"/>
      <c r="O616" t="s">
        <v>1994</v>
      </c>
      <c r="P616"/>
      <c r="Q616" t="s">
        <v>634</v>
      </c>
      <c r="R616" t="s">
        <v>635</v>
      </c>
      <c r="S616" t="s">
        <v>476</v>
      </c>
      <c r="T616"/>
      <c r="U616" s="2">
        <f>Table1[[#This Row],[Coal Power Plant Size (MW) or Share]]*0.593*9057*211.9*10^(-9)</f>
        <v>0</v>
      </c>
      <c r="V616" s="2">
        <f>Table1[[#This Row],[Annual Emissions (MMTCO2)]]*40</f>
        <v>0</v>
      </c>
      <c r="W616"/>
      <c r="X616">
        <f>50/3</f>
        <v>16.666666666666668</v>
      </c>
      <c r="Y616"/>
      <c r="Z616" s="1"/>
      <c r="AA616" s="1"/>
    </row>
    <row r="617" spans="1:27" ht="27" hidden="1" customHeight="1">
      <c r="A617" t="s">
        <v>14</v>
      </c>
      <c r="B617" t="s">
        <v>92</v>
      </c>
      <c r="C617" t="s">
        <v>14</v>
      </c>
      <c r="D617" s="6">
        <v>11000000</v>
      </c>
      <c r="E617" t="s">
        <v>1990</v>
      </c>
      <c r="F617"/>
      <c r="G617"/>
      <c r="H617" t="s">
        <v>1991</v>
      </c>
      <c r="I617" t="s">
        <v>1993</v>
      </c>
      <c r="J617" s="28">
        <v>54789</v>
      </c>
      <c r="K617" t="s">
        <v>993</v>
      </c>
      <c r="L617" t="s">
        <v>213</v>
      </c>
      <c r="M617" t="s">
        <v>1981</v>
      </c>
      <c r="N617"/>
      <c r="O617" t="s">
        <v>1994</v>
      </c>
      <c r="P617"/>
      <c r="Q617" t="s">
        <v>634</v>
      </c>
      <c r="R617" t="s">
        <v>635</v>
      </c>
      <c r="S617" t="s">
        <v>476</v>
      </c>
      <c r="T617">
        <v>20</v>
      </c>
      <c r="U617" s="2">
        <f>Table1[[#This Row],[Coal Power Plant Size (MW) or Share]]*0.593*9057*211.9*10^(-9)</f>
        <v>2.2761454637999997E-2</v>
      </c>
      <c r="V617" s="2">
        <f>Table1[[#This Row],[Annual Emissions (MMTCO2)]]*40</f>
        <v>0.91045818551999991</v>
      </c>
      <c r="W617"/>
      <c r="X617">
        <v>20</v>
      </c>
      <c r="Y617"/>
      <c r="Z617" s="1"/>
      <c r="AA617" s="1"/>
    </row>
    <row r="618" spans="1:27" ht="27" hidden="1" customHeight="1">
      <c r="A618" t="s">
        <v>14</v>
      </c>
      <c r="B618" t="s">
        <v>92</v>
      </c>
      <c r="C618" t="s">
        <v>14</v>
      </c>
      <c r="D618" s="6">
        <v>30300000</v>
      </c>
      <c r="E618" t="s">
        <v>1990</v>
      </c>
      <c r="F618"/>
      <c r="G618"/>
      <c r="H618" t="s">
        <v>1995</v>
      </c>
      <c r="I618" t="s">
        <v>1993</v>
      </c>
      <c r="J618" s="28">
        <v>54789</v>
      </c>
      <c r="K618" t="s">
        <v>993</v>
      </c>
      <c r="L618" t="s">
        <v>213</v>
      </c>
      <c r="M618" t="s">
        <v>1981</v>
      </c>
      <c r="N618"/>
      <c r="O618" t="s">
        <v>1994</v>
      </c>
      <c r="P618"/>
      <c r="Q618" t="s">
        <v>634</v>
      </c>
      <c r="R618" t="s">
        <v>635</v>
      </c>
      <c r="S618" t="s">
        <v>476</v>
      </c>
      <c r="T618">
        <v>50</v>
      </c>
      <c r="U618" s="2">
        <f>Table1[[#This Row],[Coal Power Plant Size (MW) or Share]]*0.593*9057*211.9*10^(-9)</f>
        <v>5.6903636595000001E-2</v>
      </c>
      <c r="V618" s="2">
        <f>Table1[[#This Row],[Annual Emissions (MMTCO2)]]*40</f>
        <v>2.2761454637999998</v>
      </c>
      <c r="W618"/>
      <c r="X618">
        <v>50</v>
      </c>
      <c r="Y618"/>
      <c r="Z618" s="1"/>
      <c r="AA618" s="1"/>
    </row>
    <row r="619" spans="1:27" ht="27" hidden="1" customHeight="1">
      <c r="A619" t="s">
        <v>14</v>
      </c>
      <c r="B619" t="s">
        <v>92</v>
      </c>
      <c r="C619" t="s">
        <v>14</v>
      </c>
      <c r="D619" s="6">
        <v>35000000</v>
      </c>
      <c r="E619" t="s">
        <v>1976</v>
      </c>
      <c r="F619"/>
      <c r="G619"/>
      <c r="H619" t="s">
        <v>1974</v>
      </c>
      <c r="I619" t="s">
        <v>1975</v>
      </c>
      <c r="J619" s="28">
        <v>54789</v>
      </c>
      <c r="K619" t="s">
        <v>993</v>
      </c>
      <c r="L619" t="s">
        <v>1478</v>
      </c>
      <c r="M619" t="s">
        <v>1989</v>
      </c>
      <c r="N619" t="s">
        <v>1977</v>
      </c>
      <c r="O619"/>
      <c r="P619"/>
      <c r="Q619" t="s">
        <v>634</v>
      </c>
      <c r="R619" t="s">
        <v>635</v>
      </c>
      <c r="S619" t="s">
        <v>476</v>
      </c>
      <c r="T619">
        <f>51/2</f>
        <v>25.5</v>
      </c>
      <c r="U619" s="2">
        <f>Table1[[#This Row],[Coal Power Plant Size (MW) or Share]]*0.593*9057*211.9*10^(-9)</f>
        <v>2.9020854663450002E-2</v>
      </c>
      <c r="V619" s="2">
        <f>Table1[[#This Row],[Annual Emissions (MMTCO2)]]*40</f>
        <v>1.1608341865380001</v>
      </c>
      <c r="W619"/>
      <c r="X619">
        <f>51/2</f>
        <v>25.5</v>
      </c>
      <c r="Y619"/>
      <c r="Z619" s="1"/>
      <c r="AA619" s="1"/>
    </row>
    <row r="620" spans="1:27" ht="27" hidden="1" customHeight="1">
      <c r="A620" t="s">
        <v>14</v>
      </c>
      <c r="B620" t="s">
        <v>561</v>
      </c>
      <c r="C620" t="s">
        <v>14</v>
      </c>
      <c r="D620" s="6">
        <v>12000000</v>
      </c>
      <c r="E620" t="s">
        <v>1984</v>
      </c>
      <c r="F620" t="s">
        <v>1979</v>
      </c>
      <c r="G620"/>
      <c r="H620" t="s">
        <v>1978</v>
      </c>
      <c r="I620" t="s">
        <v>1980</v>
      </c>
      <c r="J620" s="28">
        <v>54789</v>
      </c>
      <c r="K620" t="s">
        <v>993</v>
      </c>
      <c r="L620" t="s">
        <v>213</v>
      </c>
      <c r="M620" t="s">
        <v>1981</v>
      </c>
      <c r="N620" t="s">
        <v>1982</v>
      </c>
      <c r="O620" t="s">
        <v>1983</v>
      </c>
      <c r="P620"/>
      <c r="Q620" t="s">
        <v>634</v>
      </c>
      <c r="R620" t="s">
        <v>635</v>
      </c>
      <c r="S620" t="s">
        <v>476</v>
      </c>
      <c r="T620">
        <v>25</v>
      </c>
      <c r="U620" s="2">
        <f>Table1[[#This Row],[Coal Power Plant Size (MW) or Share]]*0.593*9057*211.9*10^(-9)</f>
        <v>2.8451818297500001E-2</v>
      </c>
      <c r="V620" s="2">
        <f>Table1[[#This Row],[Annual Emissions (MMTCO2)]]*40</f>
        <v>1.1380727318999999</v>
      </c>
      <c r="W620"/>
      <c r="X620">
        <v>25</v>
      </c>
      <c r="Y620"/>
      <c r="Z620" s="1"/>
      <c r="AA620" s="1"/>
    </row>
    <row r="621" spans="1:27" ht="27" hidden="1" customHeight="1">
      <c r="A621" t="s">
        <v>14</v>
      </c>
      <c r="B621" t="s">
        <v>566</v>
      </c>
      <c r="C621" t="s">
        <v>14</v>
      </c>
      <c r="D621" s="6">
        <v>10000000</v>
      </c>
      <c r="E621" t="s">
        <v>1996</v>
      </c>
      <c r="F621"/>
      <c r="G621"/>
      <c r="H621" t="s">
        <v>1999</v>
      </c>
      <c r="I621" t="s">
        <v>2000</v>
      </c>
      <c r="J621" s="28">
        <v>54789</v>
      </c>
      <c r="K621" t="s">
        <v>1451</v>
      </c>
      <c r="L621" t="s">
        <v>93</v>
      </c>
      <c r="M621" t="s">
        <v>1299</v>
      </c>
      <c r="N621"/>
      <c r="O621"/>
      <c r="P621"/>
      <c r="Q621" t="s">
        <v>634</v>
      </c>
      <c r="R621" t="s">
        <v>635</v>
      </c>
      <c r="S621" t="s">
        <v>476</v>
      </c>
      <c r="T621">
        <f>50/4</f>
        <v>12.5</v>
      </c>
      <c r="U621" s="2">
        <f>Table1[[#This Row],[Coal Power Plant Size (MW) or Share]]*0.593*9057*211.9*10^(-9)</f>
        <v>1.422590914875E-2</v>
      </c>
      <c r="V621" s="2">
        <f>Table1[[#This Row],[Annual Emissions (MMTCO2)]]*40</f>
        <v>0.56903636594999996</v>
      </c>
      <c r="W621"/>
      <c r="X621">
        <f>50/4</f>
        <v>12.5</v>
      </c>
      <c r="Y621"/>
      <c r="Z621" s="1"/>
      <c r="AA621" s="1"/>
    </row>
    <row r="622" spans="1:27" ht="27" hidden="1" customHeight="1">
      <c r="A622" t="s">
        <v>14</v>
      </c>
      <c r="B622" t="s">
        <v>92</v>
      </c>
      <c r="C622" t="s">
        <v>14</v>
      </c>
      <c r="D622" s="6">
        <v>4000000</v>
      </c>
      <c r="E622" t="s">
        <v>1996</v>
      </c>
      <c r="F622"/>
      <c r="G622"/>
      <c r="H622" t="s">
        <v>1999</v>
      </c>
      <c r="I622" t="s">
        <v>2000</v>
      </c>
      <c r="J622" s="28">
        <v>54789</v>
      </c>
      <c r="K622" t="s">
        <v>1451</v>
      </c>
      <c r="L622" t="s">
        <v>93</v>
      </c>
      <c r="M622" t="s">
        <v>1299</v>
      </c>
      <c r="N622"/>
      <c r="O622"/>
      <c r="P622"/>
      <c r="Q622" t="s">
        <v>634</v>
      </c>
      <c r="R622" t="s">
        <v>635</v>
      </c>
      <c r="S622" t="s">
        <v>476</v>
      </c>
      <c r="T622">
        <f>50/4</f>
        <v>12.5</v>
      </c>
      <c r="U622" s="2">
        <f>Table1[[#This Row],[Coal Power Plant Size (MW) or Share]]*0.593*9057*211.9*10^(-9)</f>
        <v>1.422590914875E-2</v>
      </c>
      <c r="V622" s="2">
        <f>Table1[[#This Row],[Annual Emissions (MMTCO2)]]*40</f>
        <v>0.56903636594999996</v>
      </c>
      <c r="W622"/>
      <c r="X622">
        <f>50/4</f>
        <v>12.5</v>
      </c>
      <c r="Y622"/>
      <c r="Z622" s="1"/>
      <c r="AA622" s="1"/>
    </row>
    <row r="623" spans="1:27" ht="27" hidden="1" customHeight="1">
      <c r="A623" t="s">
        <v>14</v>
      </c>
      <c r="B623" t="s">
        <v>28</v>
      </c>
      <c r="C623" t="s">
        <v>14</v>
      </c>
      <c r="D623" s="6">
        <v>220000000</v>
      </c>
      <c r="E623"/>
      <c r="F623"/>
      <c r="G623"/>
      <c r="H623" t="s">
        <v>1573</v>
      </c>
      <c r="I623" t="s">
        <v>1793</v>
      </c>
      <c r="J623" s="28">
        <v>54789</v>
      </c>
      <c r="K623" t="s">
        <v>1482</v>
      </c>
      <c r="L623" t="s">
        <v>31</v>
      </c>
      <c r="M623"/>
      <c r="N623"/>
      <c r="O623"/>
      <c r="P623"/>
      <c r="Q623" t="s">
        <v>634</v>
      </c>
      <c r="R623" t="s">
        <v>1474</v>
      </c>
      <c r="S623" t="s">
        <v>476</v>
      </c>
      <c r="T623">
        <f>100/6</f>
        <v>16.666666666666668</v>
      </c>
      <c r="U623" s="2">
        <f>Table1[[#This Row],[Coal Power Plant Size (MW) or Share]]*0.593*9057*211.9*10^(-9)</f>
        <v>1.8967878864999999E-2</v>
      </c>
      <c r="V623" s="2">
        <f>Table1[[#This Row],[Annual Emissions (MMTCO2)]]*40</f>
        <v>0.75871515459999994</v>
      </c>
      <c r="W623"/>
      <c r="X623">
        <f>100/6</f>
        <v>16.666666666666668</v>
      </c>
      <c r="Y623"/>
      <c r="Z623" s="1"/>
      <c r="AA623" s="1"/>
    </row>
    <row r="624" spans="1:27" ht="27" hidden="1" customHeight="1">
      <c r="A624" t="s">
        <v>14</v>
      </c>
      <c r="B624" t="s">
        <v>28</v>
      </c>
      <c r="C624" t="s">
        <v>14</v>
      </c>
      <c r="D624" s="6">
        <v>76700000</v>
      </c>
      <c r="E624"/>
      <c r="F624"/>
      <c r="G624"/>
      <c r="H624" t="s">
        <v>1631</v>
      </c>
      <c r="I624" t="s">
        <v>1815</v>
      </c>
      <c r="J624" s="28">
        <v>54789</v>
      </c>
      <c r="K624" t="s">
        <v>993</v>
      </c>
      <c r="L624" t="s">
        <v>166</v>
      </c>
      <c r="M624"/>
      <c r="N624"/>
      <c r="O624"/>
      <c r="P624"/>
      <c r="Q624" t="s">
        <v>634</v>
      </c>
      <c r="R624" t="s">
        <v>636</v>
      </c>
      <c r="S624" t="s">
        <v>476</v>
      </c>
      <c r="T624">
        <f>850/4</f>
        <v>212.5</v>
      </c>
      <c r="U624" s="2">
        <f>Table1[[#This Row],[Coal Power Plant Size (MW) or Share]]*0.593*9057*211.9*10^(-9)</f>
        <v>0.24184045552875</v>
      </c>
      <c r="V624" s="2">
        <f>Table1[[#This Row],[Annual Emissions (MMTCO2)]]*40</f>
        <v>9.6736182211500008</v>
      </c>
      <c r="W624"/>
      <c r="X624">
        <f>850/4</f>
        <v>212.5</v>
      </c>
      <c r="Y624"/>
      <c r="Z624" s="1"/>
      <c r="AA624" s="1"/>
    </row>
    <row r="625" spans="1:27" ht="27" hidden="1" customHeight="1">
      <c r="A625" t="s">
        <v>14</v>
      </c>
      <c r="B625" t="s">
        <v>28</v>
      </c>
      <c r="C625" t="s">
        <v>14</v>
      </c>
      <c r="D625" s="6">
        <v>780000</v>
      </c>
      <c r="E625"/>
      <c r="F625"/>
      <c r="G625"/>
      <c r="H625" t="s">
        <v>1678</v>
      </c>
      <c r="I625" t="s">
        <v>1880</v>
      </c>
      <c r="J625" s="28">
        <v>54789</v>
      </c>
      <c r="K625" t="s">
        <v>1482</v>
      </c>
      <c r="L625" t="s">
        <v>1679</v>
      </c>
      <c r="M625"/>
      <c r="N625"/>
      <c r="O625"/>
      <c r="P625"/>
      <c r="Q625" t="s">
        <v>634</v>
      </c>
      <c r="R625" t="s">
        <v>635</v>
      </c>
      <c r="S625" t="s">
        <v>476</v>
      </c>
      <c r="T625">
        <v>40</v>
      </c>
      <c r="U625" s="2">
        <f>Table1[[#This Row],[Coal Power Plant Size (MW) or Share]]*0.593*9057*211.9*10^(-9)</f>
        <v>4.5522909275999994E-2</v>
      </c>
      <c r="V625" s="2">
        <f>Table1[[#This Row],[Annual Emissions (MMTCO2)]]*40</f>
        <v>1.8209163710399998</v>
      </c>
      <c r="W625"/>
      <c r="X625">
        <v>40</v>
      </c>
      <c r="Y625"/>
      <c r="Z625" s="1"/>
      <c r="AA625" s="1"/>
    </row>
    <row r="626" spans="1:27" ht="27" hidden="1" customHeight="1">
      <c r="A626" t="s">
        <v>14</v>
      </c>
      <c r="B626" t="s">
        <v>28</v>
      </c>
      <c r="C626" t="s">
        <v>14</v>
      </c>
      <c r="D626" s="6">
        <v>85000000</v>
      </c>
      <c r="E626"/>
      <c r="F626"/>
      <c r="G626"/>
      <c r="H626" t="s">
        <v>1712</v>
      </c>
      <c r="I626" t="s">
        <v>1919</v>
      </c>
      <c r="J626" s="28">
        <v>54789</v>
      </c>
      <c r="K626" t="s">
        <v>993</v>
      </c>
      <c r="L626" t="s">
        <v>213</v>
      </c>
      <c r="M626"/>
      <c r="N626"/>
      <c r="O626"/>
      <c r="P626"/>
      <c r="Q626" t="s">
        <v>634</v>
      </c>
      <c r="R626" t="s">
        <v>1474</v>
      </c>
      <c r="S626" t="s">
        <v>1486</v>
      </c>
      <c r="T626">
        <f>100/7</f>
        <v>14.285714285714286</v>
      </c>
      <c r="U626" s="2">
        <f>Table1[[#This Row],[Coal Power Plant Size (MW) or Share]]*0.593*9057*211.9*10^(-9)</f>
        <v>1.6258181884285714E-2</v>
      </c>
      <c r="V626" s="2">
        <f>Table1[[#This Row],[Annual Emissions (MMTCO2)]]*40</f>
        <v>0.65032727537142854</v>
      </c>
      <c r="W626"/>
      <c r="X626">
        <f>100/7</f>
        <v>14.285714285714286</v>
      </c>
      <c r="Y626"/>
      <c r="Z626" s="1"/>
      <c r="AA626" s="1"/>
    </row>
    <row r="627" spans="1:27" ht="27" hidden="1" customHeight="1">
      <c r="A627" t="s">
        <v>14</v>
      </c>
      <c r="B627" t="s">
        <v>1743</v>
      </c>
      <c r="C627" t="s">
        <v>14</v>
      </c>
      <c r="D627" s="6">
        <v>28500000</v>
      </c>
      <c r="E627"/>
      <c r="F627"/>
      <c r="G627"/>
      <c r="H627" t="s">
        <v>1712</v>
      </c>
      <c r="I627" t="s">
        <v>1919</v>
      </c>
      <c r="J627" s="28">
        <v>54789</v>
      </c>
      <c r="K627" t="s">
        <v>993</v>
      </c>
      <c r="L627" t="s">
        <v>213</v>
      </c>
      <c r="M627"/>
      <c r="N627"/>
      <c r="O627"/>
      <c r="P627"/>
      <c r="Q627" t="s">
        <v>634</v>
      </c>
      <c r="R627" t="s">
        <v>1474</v>
      </c>
      <c r="S627" t="s">
        <v>1486</v>
      </c>
      <c r="T627">
        <f>100/7</f>
        <v>14.285714285714286</v>
      </c>
      <c r="U627" s="2">
        <f>Table1[[#This Row],[Coal Power Plant Size (MW) or Share]]*0.593*9057*211.9*10^(-9)</f>
        <v>1.6258181884285714E-2</v>
      </c>
      <c r="V627" s="2">
        <f>Table1[[#This Row],[Annual Emissions (MMTCO2)]]*40</f>
        <v>0.65032727537142854</v>
      </c>
      <c r="W627"/>
      <c r="X627">
        <f>100/7</f>
        <v>14.285714285714286</v>
      </c>
      <c r="Y627"/>
      <c r="Z627" s="1"/>
      <c r="AA627" s="1"/>
    </row>
    <row r="628" spans="1:27" ht="27" hidden="1" customHeight="1">
      <c r="A628" t="s">
        <v>14</v>
      </c>
      <c r="B628" t="s">
        <v>87</v>
      </c>
      <c r="C628" t="s">
        <v>14</v>
      </c>
      <c r="D628" s="6">
        <v>48000000</v>
      </c>
      <c r="E628"/>
      <c r="F628"/>
      <c r="G628"/>
      <c r="H628" t="s">
        <v>592</v>
      </c>
      <c r="I628" t="s">
        <v>654</v>
      </c>
      <c r="J628" s="28">
        <v>54789</v>
      </c>
      <c r="K628" t="s">
        <v>991</v>
      </c>
      <c r="L628" t="s">
        <v>67</v>
      </c>
      <c r="M628"/>
      <c r="N628"/>
      <c r="O628"/>
      <c r="P628"/>
      <c r="Q628" t="s">
        <v>634</v>
      </c>
      <c r="R628" t="s">
        <v>636</v>
      </c>
      <c r="S628" t="s">
        <v>476</v>
      </c>
      <c r="T628">
        <v>20.83</v>
      </c>
      <c r="U628" s="2">
        <f>Table1[[#This Row],[Coal Power Plant Size (MW) or Share]]*0.593*9057*211.9*10^(-9)</f>
        <v>2.3706055005477001E-2</v>
      </c>
      <c r="V628" s="2">
        <f>Table1[[#This Row],[Annual Emissions (MMTCO2)]]*40</f>
        <v>0.94824220021908001</v>
      </c>
      <c r="W628"/>
      <c r="X628">
        <v>20.83</v>
      </c>
      <c r="Y628"/>
      <c r="Z628" s="1"/>
      <c r="AA628" s="1"/>
    </row>
    <row r="629" spans="1:27" ht="27" hidden="1" customHeight="1">
      <c r="A629" t="s">
        <v>14</v>
      </c>
      <c r="B629" t="s">
        <v>87</v>
      </c>
      <c r="C629" t="s">
        <v>14</v>
      </c>
      <c r="D629" s="6">
        <v>195000000</v>
      </c>
      <c r="E629"/>
      <c r="F629"/>
      <c r="G629"/>
      <c r="H629" t="s">
        <v>1653</v>
      </c>
      <c r="I629" t="s">
        <v>1953</v>
      </c>
      <c r="J629" s="28">
        <v>54789</v>
      </c>
      <c r="K629" t="s">
        <v>989</v>
      </c>
      <c r="L629" t="s">
        <v>26</v>
      </c>
      <c r="M629" t="s">
        <v>1654</v>
      </c>
      <c r="N629"/>
      <c r="O629"/>
      <c r="P629"/>
      <c r="Q629" t="s">
        <v>634</v>
      </c>
      <c r="R629" t="s">
        <v>637</v>
      </c>
      <c r="S629" t="s">
        <v>476</v>
      </c>
      <c r="T629"/>
      <c r="U629" s="2">
        <f>Table1[[#This Row],[Coal Power Plant Size (MW) or Share]]*0.593*9057*211.9*10^(-9)</f>
        <v>0</v>
      </c>
      <c r="V629" s="2">
        <f>Table1[[#This Row],[Annual Emissions (MMTCO2)]]*40</f>
        <v>0</v>
      </c>
      <c r="W629"/>
      <c r="X629"/>
      <c r="Y629"/>
      <c r="Z629" s="1"/>
      <c r="AA629" s="1"/>
    </row>
    <row r="630" spans="1:27" ht="27" hidden="1" customHeight="1">
      <c r="A630" t="s">
        <v>14</v>
      </c>
      <c r="B630" t="s">
        <v>87</v>
      </c>
      <c r="C630" t="s">
        <v>14</v>
      </c>
      <c r="D630" s="6">
        <v>7390000</v>
      </c>
      <c r="E630" t="s">
        <v>686</v>
      </c>
      <c r="F630"/>
      <c r="G630"/>
      <c r="H630" t="s">
        <v>617</v>
      </c>
      <c r="I630" t="s">
        <v>685</v>
      </c>
      <c r="J630" s="28">
        <v>54789</v>
      </c>
      <c r="K630" t="s">
        <v>989</v>
      </c>
      <c r="L630" t="s">
        <v>26</v>
      </c>
      <c r="M630" t="s">
        <v>629</v>
      </c>
      <c r="N630"/>
      <c r="O630"/>
      <c r="P630"/>
      <c r="Q630" t="s">
        <v>634</v>
      </c>
      <c r="R630" t="s">
        <v>635</v>
      </c>
      <c r="S630" t="s">
        <v>476</v>
      </c>
      <c r="T630">
        <v>25</v>
      </c>
      <c r="U630" s="2">
        <f>Table1[[#This Row],[Coal Power Plant Size (MW) or Share]]*0.593*9057*211.9*10^(-9)</f>
        <v>2.8451818297500001E-2</v>
      </c>
      <c r="V630" s="2">
        <f>Table1[[#This Row],[Annual Emissions (MMTCO2)]]*40</f>
        <v>1.1380727318999999</v>
      </c>
      <c r="W630"/>
      <c r="X630">
        <v>25</v>
      </c>
      <c r="Y630"/>
      <c r="Z630" s="1"/>
      <c r="AA630" s="1"/>
    </row>
    <row r="631" spans="1:27" ht="27" hidden="1" customHeight="1">
      <c r="A631" t="s">
        <v>14</v>
      </c>
      <c r="B631" t="s">
        <v>566</v>
      </c>
      <c r="C631" t="s">
        <v>14</v>
      </c>
      <c r="D631" s="6">
        <v>0</v>
      </c>
      <c r="E631"/>
      <c r="F631"/>
      <c r="G631"/>
      <c r="H631" t="s">
        <v>1472</v>
      </c>
      <c r="I631" t="s">
        <v>1885</v>
      </c>
      <c r="J631" s="28">
        <v>54789</v>
      </c>
      <c r="K631" t="s">
        <v>990</v>
      </c>
      <c r="L631" t="s">
        <v>20</v>
      </c>
      <c r="M631"/>
      <c r="N631"/>
      <c r="O631"/>
      <c r="P631"/>
      <c r="Q631" t="s">
        <v>634</v>
      </c>
      <c r="R631" t="s">
        <v>1473</v>
      </c>
      <c r="S631" t="s">
        <v>476</v>
      </c>
      <c r="T631">
        <f>210/3</f>
        <v>70</v>
      </c>
      <c r="U631" s="2">
        <f>Table1[[#This Row],[Coal Power Plant Size (MW) or Share]]*0.593*9057*211.9*10^(-9)</f>
        <v>7.9665091233000015E-2</v>
      </c>
      <c r="V631" s="2">
        <f>Table1[[#This Row],[Annual Emissions (MMTCO2)]]*40</f>
        <v>3.1866036493200007</v>
      </c>
      <c r="W631"/>
      <c r="X631">
        <f>210/3</f>
        <v>70</v>
      </c>
      <c r="Y631"/>
      <c r="Z631" s="1"/>
      <c r="AA631" s="1"/>
    </row>
    <row r="632" spans="1:27" ht="27" hidden="1" customHeight="1">
      <c r="A632" t="s">
        <v>14</v>
      </c>
      <c r="B632" t="s">
        <v>566</v>
      </c>
      <c r="C632" t="s">
        <v>14</v>
      </c>
      <c r="D632" s="6">
        <v>30000000</v>
      </c>
      <c r="E632"/>
      <c r="F632"/>
      <c r="G632"/>
      <c r="H632" t="s">
        <v>1518</v>
      </c>
      <c r="I632" t="s">
        <v>1931</v>
      </c>
      <c r="J632" s="28">
        <v>54789</v>
      </c>
      <c r="K632" t="s">
        <v>990</v>
      </c>
      <c r="L632" t="s">
        <v>20</v>
      </c>
      <c r="M632"/>
      <c r="N632"/>
      <c r="O632"/>
      <c r="P632"/>
      <c r="Q632" t="s">
        <v>634</v>
      </c>
      <c r="R632" t="s">
        <v>638</v>
      </c>
      <c r="S632" t="s">
        <v>476</v>
      </c>
      <c r="T632">
        <v>48</v>
      </c>
      <c r="U632" s="2">
        <f>Table1[[#This Row],[Coal Power Plant Size (MW) or Share]]*0.593*9057*211.9*10^(-9)</f>
        <v>5.4627491131199996E-2</v>
      </c>
      <c r="V632" s="2">
        <f>Table1[[#This Row],[Annual Emissions (MMTCO2)]]*40</f>
        <v>2.185099645248</v>
      </c>
      <c r="W632"/>
      <c r="X632">
        <v>48</v>
      </c>
      <c r="Y632"/>
      <c r="Z632" s="1"/>
      <c r="AA632" s="1"/>
    </row>
    <row r="633" spans="1:27" ht="27" hidden="1" customHeight="1">
      <c r="A633" t="s">
        <v>14</v>
      </c>
      <c r="B633" t="s">
        <v>566</v>
      </c>
      <c r="C633" t="s">
        <v>14</v>
      </c>
      <c r="D633" s="6">
        <v>250000000</v>
      </c>
      <c r="E633"/>
      <c r="F633"/>
      <c r="G633"/>
      <c r="H633" t="s">
        <v>1573</v>
      </c>
      <c r="I633" t="s">
        <v>1793</v>
      </c>
      <c r="J633" s="28">
        <v>54789</v>
      </c>
      <c r="K633" t="s">
        <v>1482</v>
      </c>
      <c r="L633" t="s">
        <v>31</v>
      </c>
      <c r="M633"/>
      <c r="N633"/>
      <c r="O633"/>
      <c r="P633"/>
      <c r="Q633" t="s">
        <v>634</v>
      </c>
      <c r="R633" t="s">
        <v>1474</v>
      </c>
      <c r="S633" t="s">
        <v>476</v>
      </c>
      <c r="T633">
        <f>100/6</f>
        <v>16.666666666666668</v>
      </c>
      <c r="U633" s="2">
        <f>Table1[[#This Row],[Coal Power Plant Size (MW) or Share]]*0.593*9057*211.9*10^(-9)</f>
        <v>1.8967878864999999E-2</v>
      </c>
      <c r="V633" s="2">
        <f>Table1[[#This Row],[Annual Emissions (MMTCO2)]]*40</f>
        <v>0.75871515459999994</v>
      </c>
      <c r="W633"/>
      <c r="X633">
        <f>100/6</f>
        <v>16.666666666666668</v>
      </c>
      <c r="Y633"/>
      <c r="Z633" s="1"/>
      <c r="AA633" s="1"/>
    </row>
    <row r="634" spans="1:27" ht="27" hidden="1" customHeight="1">
      <c r="A634" t="s">
        <v>14</v>
      </c>
      <c r="B634" t="s">
        <v>566</v>
      </c>
      <c r="C634" t="s">
        <v>14</v>
      </c>
      <c r="D634" s="6">
        <v>66980000.000000007</v>
      </c>
      <c r="E634"/>
      <c r="F634"/>
      <c r="G634"/>
      <c r="H634" t="s">
        <v>1631</v>
      </c>
      <c r="I634" t="s">
        <v>1815</v>
      </c>
      <c r="J634" s="28">
        <v>54789</v>
      </c>
      <c r="K634" t="s">
        <v>993</v>
      </c>
      <c r="L634" t="s">
        <v>166</v>
      </c>
      <c r="M634"/>
      <c r="N634"/>
      <c r="O634"/>
      <c r="P634"/>
      <c r="Q634" t="s">
        <v>634</v>
      </c>
      <c r="R634" t="s">
        <v>636</v>
      </c>
      <c r="S634" t="s">
        <v>476</v>
      </c>
      <c r="T634">
        <f>850/4</f>
        <v>212.5</v>
      </c>
      <c r="U634" s="2">
        <f>Table1[[#This Row],[Coal Power Plant Size (MW) or Share]]*0.593*9057*211.9*10^(-9)</f>
        <v>0.24184045552875</v>
      </c>
      <c r="V634" s="2">
        <f>Table1[[#This Row],[Annual Emissions (MMTCO2)]]*40</f>
        <v>9.6736182211500008</v>
      </c>
      <c r="W634"/>
      <c r="X634">
        <f>850/4</f>
        <v>212.5</v>
      </c>
      <c r="Y634"/>
      <c r="Z634" s="1"/>
      <c r="AA634" s="1"/>
    </row>
    <row r="635" spans="1:27" ht="27" hidden="1" customHeight="1">
      <c r="A635" t="s">
        <v>14</v>
      </c>
      <c r="B635" t="s">
        <v>566</v>
      </c>
      <c r="C635" t="s">
        <v>14</v>
      </c>
      <c r="D635" s="6">
        <v>159360000</v>
      </c>
      <c r="E635"/>
      <c r="F635"/>
      <c r="G635"/>
      <c r="H635" t="s">
        <v>1620</v>
      </c>
      <c r="I635" t="s">
        <v>1947</v>
      </c>
      <c r="J635" s="28">
        <v>54789</v>
      </c>
      <c r="K635" t="s">
        <v>993</v>
      </c>
      <c r="L635" t="s">
        <v>166</v>
      </c>
      <c r="M635"/>
      <c r="N635"/>
      <c r="O635"/>
      <c r="P635"/>
      <c r="Q635" t="s">
        <v>634</v>
      </c>
      <c r="R635" t="s">
        <v>635</v>
      </c>
      <c r="S635" t="s">
        <v>1486</v>
      </c>
      <c r="T635">
        <v>120</v>
      </c>
      <c r="U635" s="2">
        <f>Table1[[#This Row],[Coal Power Plant Size (MW) or Share]]*0.593*9057*211.9*10^(-9)</f>
        <v>0.13656872782800003</v>
      </c>
      <c r="V635" s="2">
        <f>Table1[[#This Row],[Annual Emissions (MMTCO2)]]*40</f>
        <v>5.462749113120001</v>
      </c>
      <c r="W635"/>
      <c r="X635">
        <v>120</v>
      </c>
      <c r="Y635"/>
      <c r="Z635" s="1"/>
      <c r="AA635" s="1"/>
    </row>
    <row r="636" spans="1:27" ht="27" hidden="1" customHeight="1">
      <c r="A636" t="s">
        <v>14</v>
      </c>
      <c r="B636" t="s">
        <v>566</v>
      </c>
      <c r="C636" t="s">
        <v>14</v>
      </c>
      <c r="D636" s="6">
        <v>38800000</v>
      </c>
      <c r="E636"/>
      <c r="F636"/>
      <c r="G636"/>
      <c r="H636" t="s">
        <v>1649</v>
      </c>
      <c r="I636" t="s">
        <v>1866</v>
      </c>
      <c r="J636" s="28">
        <v>54789</v>
      </c>
      <c r="K636" t="s">
        <v>1482</v>
      </c>
      <c r="L636" t="s">
        <v>31</v>
      </c>
      <c r="M636"/>
      <c r="N636"/>
      <c r="O636"/>
      <c r="P636"/>
      <c r="Q636" t="s">
        <v>634</v>
      </c>
      <c r="R636" t="s">
        <v>1474</v>
      </c>
      <c r="S636" t="s">
        <v>476</v>
      </c>
      <c r="T636">
        <f>100/3</f>
        <v>33.333333333333336</v>
      </c>
      <c r="U636" s="2">
        <f>Table1[[#This Row],[Coal Power Plant Size (MW) or Share]]*0.593*9057*211.9*10^(-9)</f>
        <v>3.7935757729999998E-2</v>
      </c>
      <c r="V636" s="2">
        <f>Table1[[#This Row],[Annual Emissions (MMTCO2)]]*40</f>
        <v>1.5174303091999999</v>
      </c>
      <c r="W636"/>
      <c r="X636">
        <f>100/3</f>
        <v>33.333333333333336</v>
      </c>
      <c r="Y636"/>
      <c r="Z636" s="1"/>
      <c r="AA636" s="1"/>
    </row>
    <row r="637" spans="1:27" ht="27" hidden="1" customHeight="1">
      <c r="A637" t="s">
        <v>14</v>
      </c>
      <c r="B637" t="s">
        <v>566</v>
      </c>
      <c r="C637" t="s">
        <v>14</v>
      </c>
      <c r="D637" s="6">
        <v>100000000</v>
      </c>
      <c r="E637"/>
      <c r="F637"/>
      <c r="G637"/>
      <c r="H637" t="s">
        <v>1712</v>
      </c>
      <c r="I637" t="s">
        <v>1919</v>
      </c>
      <c r="J637" s="28">
        <v>54789</v>
      </c>
      <c r="K637" t="s">
        <v>993</v>
      </c>
      <c r="L637" t="s">
        <v>213</v>
      </c>
      <c r="M637"/>
      <c r="N637"/>
      <c r="O637"/>
      <c r="P637"/>
      <c r="Q637" t="s">
        <v>634</v>
      </c>
      <c r="R637" t="s">
        <v>1474</v>
      </c>
      <c r="S637" t="s">
        <v>1486</v>
      </c>
      <c r="T637">
        <f>100/7</f>
        <v>14.285714285714286</v>
      </c>
      <c r="U637" s="2">
        <f>Table1[[#This Row],[Coal Power Plant Size (MW) or Share]]*0.593*9057*211.9*10^(-9)</f>
        <v>1.6258181884285714E-2</v>
      </c>
      <c r="V637" s="2">
        <f>Table1[[#This Row],[Annual Emissions (MMTCO2)]]*40</f>
        <v>0.65032727537142854</v>
      </c>
      <c r="W637"/>
      <c r="X637">
        <f>100/7</f>
        <v>14.285714285714286</v>
      </c>
      <c r="Y637"/>
      <c r="Z637" s="1"/>
      <c r="AA637" s="1"/>
    </row>
    <row r="638" spans="1:27" ht="27" hidden="1" customHeight="1">
      <c r="A638" t="s">
        <v>14</v>
      </c>
      <c r="B638" t="s">
        <v>566</v>
      </c>
      <c r="C638" t="s">
        <v>14</v>
      </c>
      <c r="D638" s="6">
        <v>0</v>
      </c>
      <c r="E638"/>
      <c r="F638"/>
      <c r="G638"/>
      <c r="H638" t="s">
        <v>1718</v>
      </c>
      <c r="I638" t="s">
        <v>1823</v>
      </c>
      <c r="J638" s="28">
        <v>54789</v>
      </c>
      <c r="K638" t="s">
        <v>1451</v>
      </c>
      <c r="L638" t="s">
        <v>93</v>
      </c>
      <c r="M638"/>
      <c r="N638"/>
      <c r="O638"/>
      <c r="P638"/>
      <c r="Q638" t="s">
        <v>634</v>
      </c>
      <c r="R638" t="s">
        <v>636</v>
      </c>
      <c r="S638" t="s">
        <v>476</v>
      </c>
      <c r="T638">
        <f>50/2</f>
        <v>25</v>
      </c>
      <c r="U638" s="2">
        <f>Table1[[#This Row],[Coal Power Plant Size (MW) or Share]]*0.593*9057*211.9*10^(-9)</f>
        <v>2.8451818297500001E-2</v>
      </c>
      <c r="V638" s="2">
        <f>Table1[[#This Row],[Annual Emissions (MMTCO2)]]*40</f>
        <v>1.1380727318999999</v>
      </c>
      <c r="W638"/>
      <c r="X638">
        <f>50/2</f>
        <v>25</v>
      </c>
      <c r="Y638"/>
      <c r="Z638" s="1"/>
      <c r="AA638" s="1"/>
    </row>
    <row r="639" spans="1:27" ht="27" hidden="1" customHeight="1">
      <c r="A639" t="s">
        <v>14</v>
      </c>
      <c r="B639" t="s">
        <v>1749</v>
      </c>
      <c r="C639" t="s">
        <v>14</v>
      </c>
      <c r="D639" s="6">
        <v>17600000</v>
      </c>
      <c r="E639"/>
      <c r="F639"/>
      <c r="G639"/>
      <c r="H639" t="s">
        <v>1660</v>
      </c>
      <c r="I639" t="s">
        <v>1890</v>
      </c>
      <c r="J639" s="28">
        <v>54789</v>
      </c>
      <c r="K639" t="s">
        <v>1482</v>
      </c>
      <c r="L639" t="s">
        <v>1661</v>
      </c>
      <c r="M639"/>
      <c r="N639"/>
      <c r="O639"/>
      <c r="P639"/>
      <c r="Q639" t="s">
        <v>634</v>
      </c>
      <c r="R639" t="s">
        <v>635</v>
      </c>
      <c r="S639" t="s">
        <v>476</v>
      </c>
      <c r="T639">
        <f>33/2</f>
        <v>16.5</v>
      </c>
      <c r="U639" s="2">
        <f>Table1[[#This Row],[Coal Power Plant Size (MW) or Share]]*0.593*9057*211.9*10^(-9)</f>
        <v>1.8778200076350001E-2</v>
      </c>
      <c r="V639" s="2">
        <f>Table1[[#This Row],[Annual Emissions (MMTCO2)]]*40</f>
        <v>0.75112800305400007</v>
      </c>
      <c r="W639"/>
      <c r="X639">
        <f>33/2</f>
        <v>16.5</v>
      </c>
      <c r="Y639"/>
      <c r="Z639" s="1"/>
      <c r="AA639" s="1"/>
    </row>
    <row r="640" spans="1:27" ht="27" hidden="1" customHeight="1">
      <c r="A640" t="s">
        <v>14</v>
      </c>
      <c r="B640" t="s">
        <v>92</v>
      </c>
      <c r="C640" t="s">
        <v>14</v>
      </c>
      <c r="D640" s="6">
        <v>35940000</v>
      </c>
      <c r="E640"/>
      <c r="F640"/>
      <c r="G640"/>
      <c r="H640" t="s">
        <v>1505</v>
      </c>
      <c r="I640" t="s">
        <v>1897</v>
      </c>
      <c r="J640" s="28">
        <v>54789</v>
      </c>
      <c r="K640" t="s">
        <v>992</v>
      </c>
      <c r="L640" t="s">
        <v>112</v>
      </c>
      <c r="M640"/>
      <c r="N640"/>
      <c r="O640"/>
      <c r="P640"/>
      <c r="Q640" t="s">
        <v>634</v>
      </c>
      <c r="R640" t="s">
        <v>636</v>
      </c>
      <c r="S640" t="s">
        <v>476</v>
      </c>
      <c r="T640">
        <v>106</v>
      </c>
      <c r="U640" s="2">
        <f>Table1[[#This Row],[Coal Power Plant Size (MW) or Share]]*0.593*9057*211.9*10^(-9)</f>
        <v>0.12063570958140001</v>
      </c>
      <c r="V640" s="2">
        <f>Table1[[#This Row],[Annual Emissions (MMTCO2)]]*40</f>
        <v>4.8254283832559999</v>
      </c>
      <c r="W640"/>
      <c r="X640">
        <v>106</v>
      </c>
      <c r="Y640"/>
      <c r="Z640" s="1"/>
      <c r="AA640" s="1"/>
    </row>
    <row r="641" spans="1:27" ht="27" hidden="1" customHeight="1">
      <c r="A641" t="s">
        <v>14</v>
      </c>
      <c r="B641" t="s">
        <v>92</v>
      </c>
      <c r="C641" t="s">
        <v>14</v>
      </c>
      <c r="D641" s="6">
        <v>47170000</v>
      </c>
      <c r="E641"/>
      <c r="F641"/>
      <c r="G641"/>
      <c r="H641" t="s">
        <v>1506</v>
      </c>
      <c r="I641" t="s">
        <v>1909</v>
      </c>
      <c r="J641" s="28">
        <v>54789</v>
      </c>
      <c r="K641" t="s">
        <v>992</v>
      </c>
      <c r="L641" t="s">
        <v>112</v>
      </c>
      <c r="M641"/>
      <c r="N641"/>
      <c r="O641"/>
      <c r="P641"/>
      <c r="Q641" t="s">
        <v>634</v>
      </c>
      <c r="R641" t="s">
        <v>636</v>
      </c>
      <c r="S641" t="s">
        <v>476</v>
      </c>
      <c r="T641">
        <v>56</v>
      </c>
      <c r="U641" s="2">
        <f>Table1[[#This Row],[Coal Power Plant Size (MW) or Share]]*0.593*9057*211.9*10^(-9)</f>
        <v>6.3732072986400004E-2</v>
      </c>
      <c r="V641" s="2">
        <f>Table1[[#This Row],[Annual Emissions (MMTCO2)]]*40</f>
        <v>2.5492829194560001</v>
      </c>
      <c r="W641"/>
      <c r="X641">
        <v>56</v>
      </c>
      <c r="Y641"/>
      <c r="Z641" s="1"/>
      <c r="AA641" s="1"/>
    </row>
    <row r="642" spans="1:27" ht="27" hidden="1" customHeight="1">
      <c r="A642" t="s">
        <v>14</v>
      </c>
      <c r="B642" t="s">
        <v>92</v>
      </c>
      <c r="C642" t="s">
        <v>14</v>
      </c>
      <c r="D642" s="6">
        <v>83000000</v>
      </c>
      <c r="E642"/>
      <c r="F642"/>
      <c r="G642"/>
      <c r="H642" t="s">
        <v>1515</v>
      </c>
      <c r="I642" t="s">
        <v>1755</v>
      </c>
      <c r="J642" s="28">
        <v>54789</v>
      </c>
      <c r="K642" t="s">
        <v>992</v>
      </c>
      <c r="L642" t="s">
        <v>221</v>
      </c>
      <c r="M642"/>
      <c r="N642"/>
      <c r="O642"/>
      <c r="P642"/>
      <c r="Q642" t="s">
        <v>634</v>
      </c>
      <c r="R642" t="s">
        <v>640</v>
      </c>
      <c r="S642" t="s">
        <v>476</v>
      </c>
      <c r="T642">
        <v>70</v>
      </c>
      <c r="U642" s="2">
        <f>Table1[[#This Row],[Coal Power Plant Size (MW) or Share]]*0.593*9057*211.9*10^(-9)</f>
        <v>7.9665091233000015E-2</v>
      </c>
      <c r="V642" s="2">
        <f>Table1[[#This Row],[Annual Emissions (MMTCO2)]]*40</f>
        <v>3.1866036493200007</v>
      </c>
      <c r="W642"/>
      <c r="X642">
        <v>70</v>
      </c>
      <c r="Y642"/>
      <c r="Z642" s="1"/>
      <c r="AA642" s="1"/>
    </row>
    <row r="643" spans="1:27" ht="27" hidden="1" customHeight="1">
      <c r="A643" t="s">
        <v>14</v>
      </c>
      <c r="B643" t="s">
        <v>92</v>
      </c>
      <c r="C643" t="s">
        <v>14</v>
      </c>
      <c r="D643" s="6">
        <v>30000000</v>
      </c>
      <c r="E643"/>
      <c r="F643"/>
      <c r="G643"/>
      <c r="H643" t="s">
        <v>1549</v>
      </c>
      <c r="I643" t="s">
        <v>1944</v>
      </c>
      <c r="J643" s="28">
        <v>54789</v>
      </c>
      <c r="K643" t="s">
        <v>1451</v>
      </c>
      <c r="L643" t="s">
        <v>93</v>
      </c>
      <c r="M643"/>
      <c r="N643"/>
      <c r="O643"/>
      <c r="P643"/>
      <c r="Q643" t="s">
        <v>634</v>
      </c>
      <c r="R643" t="s">
        <v>635</v>
      </c>
      <c r="S643" t="s">
        <v>476</v>
      </c>
      <c r="T643">
        <v>48</v>
      </c>
      <c r="U643" s="2">
        <f>Table1[[#This Row],[Coal Power Plant Size (MW) or Share]]*0.593*9057*211.9*10^(-9)</f>
        <v>5.4627491131199996E-2</v>
      </c>
      <c r="V643" s="2">
        <f>Table1[[#This Row],[Annual Emissions (MMTCO2)]]*40</f>
        <v>2.185099645248</v>
      </c>
      <c r="W643"/>
      <c r="X643">
        <v>48</v>
      </c>
      <c r="Y643"/>
      <c r="Z643" s="1"/>
      <c r="AA643" s="1"/>
    </row>
    <row r="644" spans="1:27" ht="27" hidden="1" customHeight="1">
      <c r="A644" t="s">
        <v>14</v>
      </c>
      <c r="B644" t="s">
        <v>92</v>
      </c>
      <c r="C644" t="s">
        <v>14</v>
      </c>
      <c r="D644" s="6">
        <v>45200000</v>
      </c>
      <c r="E644"/>
      <c r="F644"/>
      <c r="G644"/>
      <c r="H644" t="s">
        <v>1561</v>
      </c>
      <c r="I644" t="s">
        <v>1886</v>
      </c>
      <c r="J644" s="28">
        <v>54789</v>
      </c>
      <c r="K644" t="s">
        <v>992</v>
      </c>
      <c r="L644" t="s">
        <v>1562</v>
      </c>
      <c r="M644"/>
      <c r="N644"/>
      <c r="O644"/>
      <c r="P644"/>
      <c r="Q644" t="s">
        <v>634</v>
      </c>
      <c r="R644" t="s">
        <v>1563</v>
      </c>
      <c r="S644" t="s">
        <v>476</v>
      </c>
      <c r="T644">
        <v>38</v>
      </c>
      <c r="U644" s="2">
        <f>Table1[[#This Row],[Coal Power Plant Size (MW) or Share]]*0.593*9057*211.9*10^(-9)</f>
        <v>4.3246763812200002E-2</v>
      </c>
      <c r="V644" s="2">
        <f>Table1[[#This Row],[Annual Emissions (MMTCO2)]]*40</f>
        <v>1.729870552488</v>
      </c>
      <c r="W644"/>
      <c r="X644">
        <v>38</v>
      </c>
      <c r="Y644"/>
      <c r="Z644" s="1"/>
      <c r="AA644" s="1"/>
    </row>
    <row r="645" spans="1:27" ht="27" hidden="1" customHeight="1">
      <c r="A645" t="s">
        <v>14</v>
      </c>
      <c r="B645" t="s">
        <v>92</v>
      </c>
      <c r="C645" t="s">
        <v>14</v>
      </c>
      <c r="D645" s="6">
        <v>26000000</v>
      </c>
      <c r="E645"/>
      <c r="F645"/>
      <c r="G645"/>
      <c r="H645" t="s">
        <v>1576</v>
      </c>
      <c r="I645" t="s">
        <v>1938</v>
      </c>
      <c r="J645" s="28">
        <v>54789</v>
      </c>
      <c r="K645" t="s">
        <v>1451</v>
      </c>
      <c r="L645" t="s">
        <v>93</v>
      </c>
      <c r="M645"/>
      <c r="N645"/>
      <c r="O645"/>
      <c r="P645"/>
      <c r="Q645" t="s">
        <v>634</v>
      </c>
      <c r="R645" t="s">
        <v>635</v>
      </c>
      <c r="S645" t="s">
        <v>476</v>
      </c>
      <c r="T645">
        <v>29</v>
      </c>
      <c r="U645" s="2">
        <f>Table1[[#This Row],[Coal Power Plant Size (MW) or Share]]*0.593*9057*211.9*10^(-9)</f>
        <v>3.3004109225100005E-2</v>
      </c>
      <c r="V645" s="2">
        <f>Table1[[#This Row],[Annual Emissions (MMTCO2)]]*40</f>
        <v>1.3201643690040001</v>
      </c>
      <c r="W645"/>
      <c r="X645">
        <v>29</v>
      </c>
      <c r="Y645"/>
      <c r="Z645" s="1"/>
      <c r="AA645" s="1"/>
    </row>
    <row r="646" spans="1:27" ht="27" hidden="1" customHeight="1">
      <c r="A646" t="s">
        <v>14</v>
      </c>
      <c r="B646" t="s">
        <v>92</v>
      </c>
      <c r="C646" t="s">
        <v>14</v>
      </c>
      <c r="D646" s="6">
        <v>27000000</v>
      </c>
      <c r="E646"/>
      <c r="F646"/>
      <c r="G646"/>
      <c r="H646" t="s">
        <v>1593</v>
      </c>
      <c r="I646" t="s">
        <v>1928</v>
      </c>
      <c r="J646" s="28">
        <v>54789</v>
      </c>
      <c r="K646" t="s">
        <v>993</v>
      </c>
      <c r="L646" t="s">
        <v>1478</v>
      </c>
      <c r="M646"/>
      <c r="N646"/>
      <c r="O646"/>
      <c r="P646"/>
      <c r="Q646" t="s">
        <v>634</v>
      </c>
      <c r="R646" t="s">
        <v>635</v>
      </c>
      <c r="S646" t="s">
        <v>476</v>
      </c>
      <c r="T646">
        <v>60.3</v>
      </c>
      <c r="U646" s="2">
        <f>Table1[[#This Row],[Coal Power Plant Size (MW) or Share]]*0.593*9057*211.9*10^(-9)</f>
        <v>6.8625785733570019E-2</v>
      </c>
      <c r="V646" s="2">
        <f>Table1[[#This Row],[Annual Emissions (MMTCO2)]]*40</f>
        <v>2.7450314293428009</v>
      </c>
      <c r="W646"/>
      <c r="X646">
        <v>60.3</v>
      </c>
      <c r="Y646"/>
      <c r="Z646" s="1"/>
      <c r="AA646" s="1"/>
    </row>
    <row r="647" spans="1:27" ht="27" hidden="1" customHeight="1">
      <c r="A647" t="s">
        <v>14</v>
      </c>
      <c r="B647" t="s">
        <v>92</v>
      </c>
      <c r="C647" t="s">
        <v>14</v>
      </c>
      <c r="D647" s="6">
        <v>53760000</v>
      </c>
      <c r="E647"/>
      <c r="F647"/>
      <c r="G647"/>
      <c r="H647" t="s">
        <v>1697</v>
      </c>
      <c r="I647" t="s">
        <v>1945</v>
      </c>
      <c r="J647" s="28">
        <v>54789</v>
      </c>
      <c r="K647" t="s">
        <v>992</v>
      </c>
      <c r="L647" t="s">
        <v>205</v>
      </c>
      <c r="M647"/>
      <c r="N647"/>
      <c r="O647"/>
      <c r="P647"/>
      <c r="Q647" t="s">
        <v>634</v>
      </c>
      <c r="R647" t="s">
        <v>636</v>
      </c>
      <c r="S647" t="s">
        <v>476</v>
      </c>
      <c r="T647"/>
      <c r="U647" s="2">
        <f>Table1[[#This Row],[Coal Power Plant Size (MW) or Share]]*0.593*9057*211.9*10^(-9)</f>
        <v>0</v>
      </c>
      <c r="V647" s="2">
        <f>Table1[[#This Row],[Annual Emissions (MMTCO2)]]*40</f>
        <v>0</v>
      </c>
      <c r="W647"/>
      <c r="X647"/>
      <c r="Y647"/>
      <c r="Z647" s="1"/>
      <c r="AA647" s="1"/>
    </row>
    <row r="648" spans="1:27" ht="27" hidden="1" customHeight="1">
      <c r="A648" t="s">
        <v>14</v>
      </c>
      <c r="B648" t="s">
        <v>92</v>
      </c>
      <c r="C648" t="s">
        <v>14</v>
      </c>
      <c r="D648" s="6">
        <v>0</v>
      </c>
      <c r="E648"/>
      <c r="F648"/>
      <c r="G648"/>
      <c r="H648" t="s">
        <v>1718</v>
      </c>
      <c r="I648" t="s">
        <v>1823</v>
      </c>
      <c r="J648" s="28">
        <v>54789</v>
      </c>
      <c r="K648" t="s">
        <v>1451</v>
      </c>
      <c r="L648" t="s">
        <v>93</v>
      </c>
      <c r="M648"/>
      <c r="N648"/>
      <c r="O648"/>
      <c r="P648"/>
      <c r="Q648" t="s">
        <v>634</v>
      </c>
      <c r="R648" t="s">
        <v>636</v>
      </c>
      <c r="S648" t="s">
        <v>476</v>
      </c>
      <c r="T648">
        <f>50/2</f>
        <v>25</v>
      </c>
      <c r="U648" s="2">
        <f>Table1[[#This Row],[Coal Power Plant Size (MW) or Share]]*0.593*9057*211.9*10^(-9)</f>
        <v>2.8451818297500001E-2</v>
      </c>
      <c r="V648" s="2">
        <f>Table1[[#This Row],[Annual Emissions (MMTCO2)]]*40</f>
        <v>1.1380727318999999</v>
      </c>
      <c r="W648"/>
      <c r="X648">
        <f>50/2</f>
        <v>25</v>
      </c>
      <c r="Y648"/>
      <c r="Z648" s="1"/>
      <c r="AA648" s="1"/>
    </row>
    <row r="649" spans="1:27" ht="27" hidden="1" customHeight="1">
      <c r="A649" t="s">
        <v>14</v>
      </c>
      <c r="B649" t="s">
        <v>199</v>
      </c>
      <c r="C649" t="s">
        <v>14</v>
      </c>
      <c r="D649" s="6">
        <v>100460000</v>
      </c>
      <c r="E649"/>
      <c r="F649"/>
      <c r="G649"/>
      <c r="H649" t="s">
        <v>1573</v>
      </c>
      <c r="I649" t="s">
        <v>1793</v>
      </c>
      <c r="J649" s="28">
        <v>54789</v>
      </c>
      <c r="K649" t="s">
        <v>1482</v>
      </c>
      <c r="L649" t="s">
        <v>31</v>
      </c>
      <c r="M649"/>
      <c r="N649"/>
      <c r="O649"/>
      <c r="P649"/>
      <c r="Q649" t="s">
        <v>634</v>
      </c>
      <c r="R649" t="s">
        <v>1474</v>
      </c>
      <c r="S649" t="s">
        <v>476</v>
      </c>
      <c r="T649">
        <f>100/6</f>
        <v>16.666666666666668</v>
      </c>
      <c r="U649" s="2">
        <f>Table1[[#This Row],[Coal Power Plant Size (MW) or Share]]*0.593*9057*211.9*10^(-9)</f>
        <v>1.8967878864999999E-2</v>
      </c>
      <c r="V649" s="2">
        <f>Table1[[#This Row],[Annual Emissions (MMTCO2)]]*40</f>
        <v>0.75871515459999994</v>
      </c>
      <c r="W649"/>
      <c r="X649">
        <f>100/6</f>
        <v>16.666666666666668</v>
      </c>
      <c r="Y649"/>
      <c r="Z649" s="1"/>
      <c r="AA649" s="1"/>
    </row>
    <row r="650" spans="1:27" ht="27" hidden="1" customHeight="1">
      <c r="A650" t="s">
        <v>14</v>
      </c>
      <c r="B650" t="s">
        <v>199</v>
      </c>
      <c r="C650" t="s">
        <v>14</v>
      </c>
      <c r="D650" s="6">
        <v>216060000</v>
      </c>
      <c r="E650"/>
      <c r="F650"/>
      <c r="G650"/>
      <c r="H650" t="s">
        <v>1631</v>
      </c>
      <c r="I650" t="s">
        <v>1815</v>
      </c>
      <c r="J650" s="28">
        <v>54789</v>
      </c>
      <c r="K650" t="s">
        <v>993</v>
      </c>
      <c r="L650" t="s">
        <v>166</v>
      </c>
      <c r="M650"/>
      <c r="N650"/>
      <c r="O650"/>
      <c r="P650"/>
      <c r="Q650" t="s">
        <v>634</v>
      </c>
      <c r="R650" t="s">
        <v>636</v>
      </c>
      <c r="S650" t="s">
        <v>476</v>
      </c>
      <c r="T650">
        <f>850/4</f>
        <v>212.5</v>
      </c>
      <c r="U650" s="2">
        <f>Table1[[#This Row],[Coal Power Plant Size (MW) or Share]]*0.593*9057*211.9*10^(-9)</f>
        <v>0.24184045552875</v>
      </c>
      <c r="V650" s="2">
        <f>Table1[[#This Row],[Annual Emissions (MMTCO2)]]*40</f>
        <v>9.6736182211500008</v>
      </c>
      <c r="W650"/>
      <c r="X650">
        <f>850/4</f>
        <v>212.5</v>
      </c>
      <c r="Y650"/>
      <c r="Z650" s="1"/>
      <c r="AA650" s="1"/>
    </row>
    <row r="651" spans="1:27" ht="27" hidden="1" customHeight="1">
      <c r="A651" t="s">
        <v>14</v>
      </c>
      <c r="B651" t="s">
        <v>199</v>
      </c>
      <c r="C651" t="s">
        <v>14</v>
      </c>
      <c r="D651" s="6">
        <v>29410000</v>
      </c>
      <c r="E651"/>
      <c r="F651"/>
      <c r="G651"/>
      <c r="H651" t="s">
        <v>1629</v>
      </c>
      <c r="I651" t="s">
        <v>1847</v>
      </c>
      <c r="J651" s="28">
        <v>54789</v>
      </c>
      <c r="K651" t="s">
        <v>1482</v>
      </c>
      <c r="L651" t="s">
        <v>1630</v>
      </c>
      <c r="M651"/>
      <c r="N651"/>
      <c r="O651"/>
      <c r="P651"/>
      <c r="Q651" t="s">
        <v>634</v>
      </c>
      <c r="R651" t="s">
        <v>635</v>
      </c>
      <c r="S651" t="s">
        <v>476</v>
      </c>
      <c r="T651">
        <f>30/2</f>
        <v>15</v>
      </c>
      <c r="U651" s="2">
        <f>Table1[[#This Row],[Coal Power Plant Size (MW) or Share]]*0.593*9057*211.9*10^(-9)</f>
        <v>1.7071090978500004E-2</v>
      </c>
      <c r="V651" s="2">
        <f>Table1[[#This Row],[Annual Emissions (MMTCO2)]]*40</f>
        <v>0.68284363914000012</v>
      </c>
      <c r="W651"/>
      <c r="X651">
        <f>30/2</f>
        <v>15</v>
      </c>
      <c r="Y651"/>
      <c r="Z651" s="1"/>
      <c r="AA651" s="1"/>
    </row>
    <row r="652" spans="1:27" ht="27" hidden="1" customHeight="1">
      <c r="A652" t="s">
        <v>14</v>
      </c>
      <c r="B652" t="s">
        <v>199</v>
      </c>
      <c r="C652" t="s">
        <v>14</v>
      </c>
      <c r="D652" s="6">
        <v>27240000</v>
      </c>
      <c r="E652"/>
      <c r="F652"/>
      <c r="G652"/>
      <c r="H652" t="s">
        <v>1642</v>
      </c>
      <c r="I652" t="s">
        <v>1891</v>
      </c>
      <c r="J652" s="28">
        <v>54789</v>
      </c>
      <c r="K652" t="s">
        <v>992</v>
      </c>
      <c r="L652" t="s">
        <v>1643</v>
      </c>
      <c r="M652"/>
      <c r="N652"/>
      <c r="O652"/>
      <c r="P652"/>
      <c r="Q652" t="s">
        <v>634</v>
      </c>
      <c r="R652" t="s">
        <v>1469</v>
      </c>
      <c r="S652" t="s">
        <v>476</v>
      </c>
      <c r="T652">
        <v>25</v>
      </c>
      <c r="U652" s="2">
        <f>Table1[[#This Row],[Coal Power Plant Size (MW) or Share]]*0.593*9057*211.9*10^(-9)</f>
        <v>2.8451818297500001E-2</v>
      </c>
      <c r="V652" s="2">
        <f>Table1[[#This Row],[Annual Emissions (MMTCO2)]]*40</f>
        <v>1.1380727318999999</v>
      </c>
      <c r="W652"/>
      <c r="X652">
        <v>25</v>
      </c>
      <c r="Y652"/>
      <c r="Z652" s="1"/>
      <c r="AA652" s="1"/>
    </row>
    <row r="653" spans="1:27" ht="27" hidden="1" customHeight="1">
      <c r="A653" t="s">
        <v>14</v>
      </c>
      <c r="B653" t="s">
        <v>199</v>
      </c>
      <c r="C653" t="s">
        <v>14</v>
      </c>
      <c r="D653" s="6">
        <v>60000000</v>
      </c>
      <c r="E653"/>
      <c r="F653"/>
      <c r="G653"/>
      <c r="H653" t="s">
        <v>1657</v>
      </c>
      <c r="I653" t="s">
        <v>1812</v>
      </c>
      <c r="J653" s="28">
        <v>54789</v>
      </c>
      <c r="K653" t="s">
        <v>1451</v>
      </c>
      <c r="L653" t="s">
        <v>36</v>
      </c>
      <c r="M653"/>
      <c r="N653"/>
      <c r="O653"/>
      <c r="P653"/>
      <c r="Q653" t="s">
        <v>634</v>
      </c>
      <c r="R653" t="s">
        <v>636</v>
      </c>
      <c r="S653" t="s">
        <v>476</v>
      </c>
      <c r="T653">
        <v>55</v>
      </c>
      <c r="U653" s="2">
        <f>Table1[[#This Row],[Coal Power Plant Size (MW) or Share]]*0.593*9057*211.9*10^(-9)</f>
        <v>6.2594000254499987E-2</v>
      </c>
      <c r="V653" s="2">
        <f>Table1[[#This Row],[Annual Emissions (MMTCO2)]]*40</f>
        <v>2.5037600101799997</v>
      </c>
      <c r="W653"/>
      <c r="X653">
        <v>55</v>
      </c>
      <c r="Y653"/>
      <c r="Z653" s="1"/>
      <c r="AA653" s="1"/>
    </row>
    <row r="654" spans="1:27" ht="27" hidden="1" customHeight="1">
      <c r="A654" t="s">
        <v>14</v>
      </c>
      <c r="B654" t="s">
        <v>199</v>
      </c>
      <c r="C654" t="s">
        <v>14</v>
      </c>
      <c r="D654" s="6">
        <v>0</v>
      </c>
      <c r="E654"/>
      <c r="F654"/>
      <c r="G654"/>
      <c r="H654" t="s">
        <v>1693</v>
      </c>
      <c r="I654" t="s">
        <v>1759</v>
      </c>
      <c r="J654" s="28">
        <v>54789</v>
      </c>
      <c r="K654" t="s">
        <v>992</v>
      </c>
      <c r="L654" t="s">
        <v>392</v>
      </c>
      <c r="M654" t="s">
        <v>1529</v>
      </c>
      <c r="N654"/>
      <c r="O654"/>
      <c r="P654"/>
      <c r="Q654" t="s">
        <v>634</v>
      </c>
      <c r="R654" t="s">
        <v>1538</v>
      </c>
      <c r="S654" t="s">
        <v>476</v>
      </c>
      <c r="T654">
        <v>299</v>
      </c>
      <c r="U654" s="2">
        <f>Table1[[#This Row],[Coal Power Plant Size (MW) or Share]]*0.593*9057*211.9*10^(-9)</f>
        <v>0.34028374683809998</v>
      </c>
      <c r="V654" s="2">
        <f>Table1[[#This Row],[Annual Emissions (MMTCO2)]]*40</f>
        <v>13.611349873523999</v>
      </c>
      <c r="W654"/>
      <c r="X654">
        <v>299</v>
      </c>
      <c r="Y654"/>
      <c r="Z654" s="1"/>
      <c r="AA654" s="1"/>
    </row>
    <row r="655" spans="1:27" ht="27" hidden="1" customHeight="1">
      <c r="A655" t="s">
        <v>14</v>
      </c>
      <c r="B655" t="s">
        <v>199</v>
      </c>
      <c r="C655" t="s">
        <v>14</v>
      </c>
      <c r="D655" s="6">
        <v>28500000</v>
      </c>
      <c r="E655"/>
      <c r="F655"/>
      <c r="G655"/>
      <c r="H655" t="s">
        <v>1712</v>
      </c>
      <c r="I655" t="s">
        <v>1919</v>
      </c>
      <c r="J655" s="28">
        <v>54789</v>
      </c>
      <c r="K655" t="s">
        <v>993</v>
      </c>
      <c r="L655" t="s">
        <v>213</v>
      </c>
      <c r="M655"/>
      <c r="N655"/>
      <c r="O655"/>
      <c r="P655"/>
      <c r="Q655" t="s">
        <v>634</v>
      </c>
      <c r="R655" t="s">
        <v>1474</v>
      </c>
      <c r="S655" t="s">
        <v>1486</v>
      </c>
      <c r="T655">
        <f>100/7</f>
        <v>14.285714285714286</v>
      </c>
      <c r="U655" s="2">
        <f>Table1[[#This Row],[Coal Power Plant Size (MW) or Share]]*0.593*9057*211.9*10^(-9)</f>
        <v>1.6258181884285714E-2</v>
      </c>
      <c r="V655" s="2">
        <f>Table1[[#This Row],[Annual Emissions (MMTCO2)]]*40</f>
        <v>0.65032727537142854</v>
      </c>
      <c r="W655"/>
      <c r="X655">
        <f>100/7</f>
        <v>14.285714285714286</v>
      </c>
      <c r="Y655"/>
      <c r="Z655" s="1"/>
      <c r="AA655" s="1"/>
    </row>
    <row r="656" spans="1:27" ht="27" hidden="1" customHeight="1">
      <c r="A656" t="s">
        <v>14</v>
      </c>
      <c r="B656" t="s">
        <v>24</v>
      </c>
      <c r="C656" t="s">
        <v>14</v>
      </c>
      <c r="D656" s="6">
        <v>0</v>
      </c>
      <c r="E656"/>
      <c r="F656"/>
      <c r="G656"/>
      <c r="H656" t="s">
        <v>1472</v>
      </c>
      <c r="I656" t="s">
        <v>1885</v>
      </c>
      <c r="J656" s="28">
        <v>54789</v>
      </c>
      <c r="K656" t="s">
        <v>990</v>
      </c>
      <c r="L656" t="s">
        <v>20</v>
      </c>
      <c r="M656"/>
      <c r="N656"/>
      <c r="O656"/>
      <c r="P656"/>
      <c r="Q656" t="s">
        <v>634</v>
      </c>
      <c r="R656" t="s">
        <v>1473</v>
      </c>
      <c r="S656" t="s">
        <v>476</v>
      </c>
      <c r="T656">
        <f>210/3</f>
        <v>70</v>
      </c>
      <c r="U656" s="2">
        <f>Table1[[#This Row],[Coal Power Plant Size (MW) or Share]]*0.593*9057*211.9*10^(-9)</f>
        <v>7.9665091233000015E-2</v>
      </c>
      <c r="V656" s="2">
        <f>Table1[[#This Row],[Annual Emissions (MMTCO2)]]*40</f>
        <v>3.1866036493200007</v>
      </c>
      <c r="W656"/>
      <c r="X656">
        <f>210/3</f>
        <v>70</v>
      </c>
      <c r="Y656"/>
      <c r="Z656" s="1"/>
      <c r="AA656" s="1"/>
    </row>
    <row r="657" spans="1:27" ht="27" hidden="1" customHeight="1">
      <c r="A657" t="s">
        <v>14</v>
      </c>
      <c r="B657" t="s">
        <v>24</v>
      </c>
      <c r="C657" t="s">
        <v>14</v>
      </c>
      <c r="D657" s="6">
        <v>12000000</v>
      </c>
      <c r="E657"/>
      <c r="F657"/>
      <c r="G657"/>
      <c r="H657" t="s">
        <v>1584</v>
      </c>
      <c r="I657" t="s">
        <v>1846</v>
      </c>
      <c r="J657" s="28">
        <v>54789</v>
      </c>
      <c r="K657" t="s">
        <v>990</v>
      </c>
      <c r="L657" t="s">
        <v>305</v>
      </c>
      <c r="M657"/>
      <c r="N657"/>
      <c r="O657"/>
      <c r="P657"/>
      <c r="Q657" t="s">
        <v>634</v>
      </c>
      <c r="R657" t="s">
        <v>640</v>
      </c>
      <c r="S657" t="s">
        <v>476</v>
      </c>
      <c r="T657">
        <f>39.8/2</f>
        <v>19.899999999999999</v>
      </c>
      <c r="U657" s="2">
        <f>Table1[[#This Row],[Coal Power Plant Size (MW) or Share]]*0.593*9057*211.9*10^(-9)</f>
        <v>2.2647647364810002E-2</v>
      </c>
      <c r="V657" s="2">
        <f>Table1[[#This Row],[Annual Emissions (MMTCO2)]]*40</f>
        <v>0.90590589459240012</v>
      </c>
      <c r="W657"/>
      <c r="X657">
        <f>39.8/2</f>
        <v>19.899999999999999</v>
      </c>
      <c r="Y657"/>
      <c r="Z657" s="1"/>
      <c r="AA657" s="1"/>
    </row>
    <row r="658" spans="1:27" ht="27" hidden="1" customHeight="1">
      <c r="A658" t="s">
        <v>14</v>
      </c>
      <c r="B658" t="s">
        <v>1744</v>
      </c>
      <c r="C658" t="s">
        <v>14</v>
      </c>
      <c r="D658" s="6">
        <v>40000000</v>
      </c>
      <c r="E658"/>
      <c r="F658"/>
      <c r="G658"/>
      <c r="H658" t="s">
        <v>1566</v>
      </c>
      <c r="I658" t="s">
        <v>1838</v>
      </c>
      <c r="J658" s="28">
        <v>54789</v>
      </c>
      <c r="K658" t="s">
        <v>989</v>
      </c>
      <c r="L658" t="s">
        <v>1567</v>
      </c>
      <c r="M658"/>
      <c r="N658"/>
      <c r="O658"/>
      <c r="P658"/>
      <c r="Q658" t="s">
        <v>634</v>
      </c>
      <c r="R658" t="s">
        <v>640</v>
      </c>
      <c r="S658" t="s">
        <v>476</v>
      </c>
      <c r="T658">
        <f>37.6/3</f>
        <v>12.533333333333333</v>
      </c>
      <c r="U658" s="2">
        <f>Table1[[#This Row],[Coal Power Plant Size (MW) or Share]]*0.593*9057*211.9*10^(-9)</f>
        <v>1.426384490648E-2</v>
      </c>
      <c r="V658" s="2">
        <f>Table1[[#This Row],[Annual Emissions (MMTCO2)]]*40</f>
        <v>0.5705537962592</v>
      </c>
      <c r="W658"/>
      <c r="X658">
        <f>37.6/3</f>
        <v>12.533333333333333</v>
      </c>
      <c r="Y658"/>
      <c r="Z658" s="1"/>
      <c r="AA658" s="1"/>
    </row>
    <row r="659" spans="1:27" ht="27" hidden="1" customHeight="1">
      <c r="A659" t="s">
        <v>14</v>
      </c>
      <c r="B659" t="s">
        <v>1744</v>
      </c>
      <c r="C659" t="s">
        <v>14</v>
      </c>
      <c r="D659" s="6">
        <v>6000000</v>
      </c>
      <c r="E659"/>
      <c r="F659"/>
      <c r="G659"/>
      <c r="H659" t="s">
        <v>1566</v>
      </c>
      <c r="I659" t="s">
        <v>1838</v>
      </c>
      <c r="J659" s="28">
        <v>54789</v>
      </c>
      <c r="K659" t="s">
        <v>989</v>
      </c>
      <c r="L659" t="s">
        <v>1567</v>
      </c>
      <c r="M659"/>
      <c r="N659"/>
      <c r="O659"/>
      <c r="P659"/>
      <c r="Q659" t="s">
        <v>634</v>
      </c>
      <c r="R659" t="s">
        <v>640</v>
      </c>
      <c r="S659" t="s">
        <v>476</v>
      </c>
      <c r="T659">
        <f>37.6/3</f>
        <v>12.533333333333333</v>
      </c>
      <c r="U659" s="2">
        <f>Table1[[#This Row],[Coal Power Plant Size (MW) or Share]]*0.593*9057*211.9*10^(-9)</f>
        <v>1.426384490648E-2</v>
      </c>
      <c r="V659" s="2">
        <f>Table1[[#This Row],[Annual Emissions (MMTCO2)]]*40</f>
        <v>0.5705537962592</v>
      </c>
      <c r="W659"/>
      <c r="X659">
        <f>37.6/3</f>
        <v>12.533333333333333</v>
      </c>
      <c r="Y659"/>
      <c r="Z659" s="1"/>
      <c r="AA659" s="1"/>
    </row>
    <row r="660" spans="1:27" ht="27" hidden="1" customHeight="1">
      <c r="A660" t="s">
        <v>14</v>
      </c>
      <c r="B660" t="s">
        <v>561</v>
      </c>
      <c r="C660" t="s">
        <v>14</v>
      </c>
      <c r="D660" s="6">
        <v>31470000</v>
      </c>
      <c r="E660" t="s">
        <v>668</v>
      </c>
      <c r="F660"/>
      <c r="G660"/>
      <c r="H660" t="s">
        <v>601</v>
      </c>
      <c r="I660" t="s">
        <v>667</v>
      </c>
      <c r="J660" s="28">
        <v>54789</v>
      </c>
      <c r="K660" t="s">
        <v>989</v>
      </c>
      <c r="L660" t="s">
        <v>26</v>
      </c>
      <c r="M660" t="s">
        <v>632</v>
      </c>
      <c r="N660"/>
      <c r="O660"/>
      <c r="P660"/>
      <c r="Q660" t="s">
        <v>634</v>
      </c>
      <c r="R660" t="s">
        <v>635</v>
      </c>
      <c r="S660" t="s">
        <v>476</v>
      </c>
      <c r="T660">
        <v>100</v>
      </c>
      <c r="U660" s="2">
        <f>Table1[[#This Row],[Coal Power Plant Size (MW) or Share]]*0.593*9057*211.9*10^(-9)</f>
        <v>0.11380727319</v>
      </c>
      <c r="V660" s="2">
        <f>Table1[[#This Row],[Annual Emissions (MMTCO2)]]*40</f>
        <v>4.5522909275999996</v>
      </c>
      <c r="W660"/>
      <c r="X660">
        <v>100</v>
      </c>
      <c r="Y660"/>
      <c r="Z660" s="1"/>
      <c r="AA660" s="1"/>
    </row>
    <row r="661" spans="1:27" ht="27" hidden="1" customHeight="1">
      <c r="A661" t="s">
        <v>14</v>
      </c>
      <c r="B661" t="s">
        <v>561</v>
      </c>
      <c r="C661" t="s">
        <v>14</v>
      </c>
      <c r="D661" s="6">
        <v>20000000</v>
      </c>
      <c r="E661"/>
      <c r="F661"/>
      <c r="G661"/>
      <c r="H661" t="s">
        <v>1493</v>
      </c>
      <c r="I661" t="s">
        <v>1926</v>
      </c>
      <c r="J661" s="28">
        <v>54789</v>
      </c>
      <c r="K661" t="s">
        <v>993</v>
      </c>
      <c r="L661" t="s">
        <v>213</v>
      </c>
      <c r="M661"/>
      <c r="N661"/>
      <c r="O661"/>
      <c r="P661"/>
      <c r="Q661" t="s">
        <v>634</v>
      </c>
      <c r="R661" t="s">
        <v>635</v>
      </c>
      <c r="S661" t="s">
        <v>476</v>
      </c>
      <c r="T661">
        <v>50</v>
      </c>
      <c r="U661" s="2">
        <f>Table1[[#This Row],[Coal Power Plant Size (MW) or Share]]*0.593*9057*211.9*10^(-9)</f>
        <v>5.6903636595000001E-2</v>
      </c>
      <c r="V661" s="2">
        <f>Table1[[#This Row],[Annual Emissions (MMTCO2)]]*40</f>
        <v>2.2761454637999998</v>
      </c>
      <c r="W661"/>
      <c r="X661">
        <v>50</v>
      </c>
      <c r="Y661"/>
      <c r="Z661" s="1"/>
      <c r="AA661" s="1"/>
    </row>
    <row r="662" spans="1:27" ht="27" hidden="1" customHeight="1">
      <c r="A662" t="s">
        <v>14</v>
      </c>
      <c r="B662" t="s">
        <v>561</v>
      </c>
      <c r="C662" t="s">
        <v>14</v>
      </c>
      <c r="D662" s="6">
        <v>20000000</v>
      </c>
      <c r="E662"/>
      <c r="F662"/>
      <c r="G662"/>
      <c r="H662" t="s">
        <v>1494</v>
      </c>
      <c r="I662" t="s">
        <v>1927</v>
      </c>
      <c r="J662" s="28">
        <v>54789</v>
      </c>
      <c r="K662" t="s">
        <v>993</v>
      </c>
      <c r="L662" t="s">
        <v>213</v>
      </c>
      <c r="M662"/>
      <c r="N662"/>
      <c r="O662"/>
      <c r="P662"/>
      <c r="Q662" t="s">
        <v>634</v>
      </c>
      <c r="R662" t="s">
        <v>635</v>
      </c>
      <c r="S662" t="s">
        <v>476</v>
      </c>
      <c r="T662">
        <v>50</v>
      </c>
      <c r="U662" s="2">
        <f>Table1[[#This Row],[Coal Power Plant Size (MW) or Share]]*0.593*9057*211.9*10^(-9)</f>
        <v>5.6903636595000001E-2</v>
      </c>
      <c r="V662" s="2">
        <f>Table1[[#This Row],[Annual Emissions (MMTCO2)]]*40</f>
        <v>2.2761454637999998</v>
      </c>
      <c r="W662"/>
      <c r="X662">
        <v>50</v>
      </c>
      <c r="Y662"/>
      <c r="Z662" s="1"/>
      <c r="AA662" s="1"/>
    </row>
    <row r="663" spans="1:27" ht="27" hidden="1" customHeight="1">
      <c r="A663" t="s">
        <v>14</v>
      </c>
      <c r="B663" t="s">
        <v>561</v>
      </c>
      <c r="C663" t="s">
        <v>14</v>
      </c>
      <c r="D663" s="6">
        <v>13030000</v>
      </c>
      <c r="E663" t="s">
        <v>583</v>
      </c>
      <c r="F663"/>
      <c r="G663"/>
      <c r="H663" t="s">
        <v>612</v>
      </c>
      <c r="I663" t="s">
        <v>681</v>
      </c>
      <c r="J663" s="28">
        <v>54789</v>
      </c>
      <c r="K663" t="s">
        <v>989</v>
      </c>
      <c r="L663" t="s">
        <v>26</v>
      </c>
      <c r="M663" t="s">
        <v>632</v>
      </c>
      <c r="N663"/>
      <c r="O663"/>
      <c r="P663"/>
      <c r="Q663" t="s">
        <v>634</v>
      </c>
      <c r="R663" t="s">
        <v>635</v>
      </c>
      <c r="S663" t="s">
        <v>476</v>
      </c>
      <c r="T663">
        <v>40</v>
      </c>
      <c r="U663" s="2">
        <f>Table1[[#This Row],[Coal Power Plant Size (MW) or Share]]*0.593*9057*211.9*10^(-9)</f>
        <v>4.5522909275999994E-2</v>
      </c>
      <c r="V663" s="2">
        <f>Table1[[#This Row],[Annual Emissions (MMTCO2)]]*40</f>
        <v>1.8209163710399998</v>
      </c>
      <c r="W663"/>
      <c r="X663">
        <v>40</v>
      </c>
      <c r="Y663"/>
      <c r="Z663" s="1"/>
      <c r="AA663" s="1"/>
    </row>
    <row r="664" spans="1:27" ht="27" hidden="1" customHeight="1">
      <c r="A664" t="s">
        <v>14</v>
      </c>
      <c r="B664" t="s">
        <v>561</v>
      </c>
      <c r="C664" t="s">
        <v>14</v>
      </c>
      <c r="D664" s="6">
        <v>0</v>
      </c>
      <c r="E664" t="s">
        <v>670</v>
      </c>
      <c r="F664"/>
      <c r="G664"/>
      <c r="H664" t="s">
        <v>602</v>
      </c>
      <c r="I664" t="s">
        <v>669</v>
      </c>
      <c r="J664" s="28">
        <v>54789</v>
      </c>
      <c r="K664" t="s">
        <v>992</v>
      </c>
      <c r="L664" t="s">
        <v>219</v>
      </c>
      <c r="M664"/>
      <c r="N664"/>
      <c r="O664"/>
      <c r="P664"/>
      <c r="Q664" t="s">
        <v>634</v>
      </c>
      <c r="R664" t="s">
        <v>636</v>
      </c>
      <c r="S664" t="s">
        <v>476</v>
      </c>
      <c r="T664">
        <v>77.5</v>
      </c>
      <c r="U664" s="2">
        <f>Table1[[#This Row],[Coal Power Plant Size (MW) or Share]]*0.593*9057*211.9*10^(-9)</f>
        <v>8.8200636722250009E-2</v>
      </c>
      <c r="V664" s="2">
        <f>Table1[[#This Row],[Annual Emissions (MMTCO2)]]*40</f>
        <v>3.5280254688900001</v>
      </c>
      <c r="W664"/>
      <c r="X664">
        <v>77.5</v>
      </c>
      <c r="Y664"/>
      <c r="Z664" s="1"/>
      <c r="AA664" s="1"/>
    </row>
    <row r="665" spans="1:27" ht="27" hidden="1" customHeight="1">
      <c r="A665" t="s">
        <v>14</v>
      </c>
      <c r="B665" t="s">
        <v>561</v>
      </c>
      <c r="C665" t="s">
        <v>14</v>
      </c>
      <c r="D665" s="6">
        <v>117000000</v>
      </c>
      <c r="E665"/>
      <c r="F665"/>
      <c r="G665"/>
      <c r="H665" t="s">
        <v>1645</v>
      </c>
      <c r="I665" t="s">
        <v>1920</v>
      </c>
      <c r="J665" s="28">
        <v>54789</v>
      </c>
      <c r="K665" t="s">
        <v>990</v>
      </c>
      <c r="L665" t="s">
        <v>288</v>
      </c>
      <c r="M665"/>
      <c r="N665"/>
      <c r="O665"/>
      <c r="P665"/>
      <c r="Q665" t="s">
        <v>634</v>
      </c>
      <c r="R665" t="s">
        <v>1646</v>
      </c>
      <c r="S665" t="s">
        <v>476</v>
      </c>
      <c r="T665"/>
      <c r="U665" s="2">
        <f>Table1[[#This Row],[Coal Power Plant Size (MW) or Share]]*0.593*9057*211.9*10^(-9)</f>
        <v>0</v>
      </c>
      <c r="V665" s="2">
        <f>Table1[[#This Row],[Annual Emissions (MMTCO2)]]*40</f>
        <v>0</v>
      </c>
      <c r="W665"/>
      <c r="X665"/>
      <c r="Y665"/>
      <c r="Z665" s="1"/>
      <c r="AA665" s="1"/>
    </row>
    <row r="666" spans="1:27" ht="27" hidden="1" customHeight="1">
      <c r="A666" t="s">
        <v>14</v>
      </c>
      <c r="B666" t="s">
        <v>561</v>
      </c>
      <c r="C666" t="s">
        <v>14</v>
      </c>
      <c r="D666" s="6">
        <v>42080000</v>
      </c>
      <c r="E666"/>
      <c r="F666"/>
      <c r="G666"/>
      <c r="H666" t="s">
        <v>1650</v>
      </c>
      <c r="I666" t="s">
        <v>1929</v>
      </c>
      <c r="J666" s="28">
        <v>54789</v>
      </c>
      <c r="K666" t="s">
        <v>990</v>
      </c>
      <c r="L666" t="s">
        <v>25</v>
      </c>
      <c r="M666" t="s">
        <v>1651</v>
      </c>
      <c r="N666"/>
      <c r="O666"/>
      <c r="P666"/>
      <c r="Q666" t="s">
        <v>634</v>
      </c>
      <c r="R666" t="s">
        <v>1538</v>
      </c>
      <c r="S666" t="s">
        <v>476</v>
      </c>
      <c r="T666"/>
      <c r="U666" s="2">
        <f>Table1[[#This Row],[Coal Power Plant Size (MW) or Share]]*0.593*9057*211.9*10^(-9)</f>
        <v>0</v>
      </c>
      <c r="V666" s="2">
        <f>Table1[[#This Row],[Annual Emissions (MMTCO2)]]*40</f>
        <v>0</v>
      </c>
      <c r="W666"/>
      <c r="X666"/>
      <c r="Y666"/>
      <c r="Z666" s="1"/>
      <c r="AA666" s="1"/>
    </row>
    <row r="667" spans="1:27" ht="27" hidden="1" customHeight="1">
      <c r="A667" t="s">
        <v>14</v>
      </c>
      <c r="B667" t="s">
        <v>561</v>
      </c>
      <c r="C667" t="s">
        <v>14</v>
      </c>
      <c r="D667" s="6">
        <v>47080000</v>
      </c>
      <c r="E667"/>
      <c r="F667"/>
      <c r="G667"/>
      <c r="H667" t="s">
        <v>1652</v>
      </c>
      <c r="I667" t="s">
        <v>1937</v>
      </c>
      <c r="J667" s="28">
        <v>54789</v>
      </c>
      <c r="K667" t="s">
        <v>990</v>
      </c>
      <c r="L667" t="s">
        <v>25</v>
      </c>
      <c r="M667" t="s">
        <v>1651</v>
      </c>
      <c r="N667"/>
      <c r="O667"/>
      <c r="P667"/>
      <c r="Q667" t="s">
        <v>634</v>
      </c>
      <c r="R667" t="s">
        <v>1538</v>
      </c>
      <c r="S667" t="s">
        <v>476</v>
      </c>
      <c r="T667"/>
      <c r="U667" s="2">
        <f>Table1[[#This Row],[Coal Power Plant Size (MW) or Share]]*0.593*9057*211.9*10^(-9)</f>
        <v>0</v>
      </c>
      <c r="V667" s="2">
        <f>Table1[[#This Row],[Annual Emissions (MMTCO2)]]*40</f>
        <v>0</v>
      </c>
      <c r="W667"/>
      <c r="X667"/>
      <c r="Y667"/>
      <c r="Z667" s="1"/>
      <c r="AA667" s="1"/>
    </row>
    <row r="668" spans="1:27" ht="27" hidden="1" customHeight="1">
      <c r="A668" t="s">
        <v>14</v>
      </c>
      <c r="B668" t="s">
        <v>561</v>
      </c>
      <c r="C668" t="s">
        <v>14</v>
      </c>
      <c r="D668" s="6">
        <v>45850000</v>
      </c>
      <c r="E668"/>
      <c r="F668"/>
      <c r="G668"/>
      <c r="H668" t="s">
        <v>596</v>
      </c>
      <c r="I668" t="s">
        <v>658</v>
      </c>
      <c r="J668" s="28">
        <v>54789</v>
      </c>
      <c r="K668" t="s">
        <v>989</v>
      </c>
      <c r="L668" t="s">
        <v>26</v>
      </c>
      <c r="M668" t="s">
        <v>630</v>
      </c>
      <c r="N668"/>
      <c r="O668"/>
      <c r="P668"/>
      <c r="Q668" t="s">
        <v>634</v>
      </c>
      <c r="R668" t="s">
        <v>636</v>
      </c>
      <c r="S668" t="s">
        <v>476</v>
      </c>
      <c r="T668">
        <v>170</v>
      </c>
      <c r="U668" s="2">
        <f>Table1[[#This Row],[Coal Power Plant Size (MW) or Share]]*0.593*9057*211.9*10^(-9)</f>
        <v>0.19347236442300003</v>
      </c>
      <c r="V668" s="2">
        <f>Table1[[#This Row],[Annual Emissions (MMTCO2)]]*40</f>
        <v>7.7388945769200017</v>
      </c>
      <c r="W668"/>
      <c r="X668">
        <v>170</v>
      </c>
      <c r="Y668"/>
      <c r="Z668" s="1"/>
      <c r="AA668" s="1"/>
    </row>
    <row r="669" spans="1:27" ht="27" hidden="1" customHeight="1">
      <c r="A669" t="s">
        <v>14</v>
      </c>
      <c r="B669" t="s">
        <v>561</v>
      </c>
      <c r="C669" t="s">
        <v>14</v>
      </c>
      <c r="D669" s="6">
        <v>41250000</v>
      </c>
      <c r="E669"/>
      <c r="F669"/>
      <c r="G669"/>
      <c r="H669" t="s">
        <v>1522</v>
      </c>
      <c r="I669" t="s">
        <v>1915</v>
      </c>
      <c r="J669" s="28">
        <v>54789</v>
      </c>
      <c r="K669" t="s">
        <v>993</v>
      </c>
      <c r="L669" t="s">
        <v>1478</v>
      </c>
      <c r="M669"/>
      <c r="N669"/>
      <c r="O669"/>
      <c r="P669"/>
      <c r="Q669" t="s">
        <v>634</v>
      </c>
      <c r="R669" t="s">
        <v>636</v>
      </c>
      <c r="S669" t="s">
        <v>476</v>
      </c>
      <c r="T669">
        <f>50/2</f>
        <v>25</v>
      </c>
      <c r="U669" s="2">
        <f>Table1[[#This Row],[Coal Power Plant Size (MW) or Share]]*0.593*9057*211.9*10^(-9)</f>
        <v>2.8451818297500001E-2</v>
      </c>
      <c r="V669" s="2">
        <f>Table1[[#This Row],[Annual Emissions (MMTCO2)]]*40</f>
        <v>1.1380727318999999</v>
      </c>
      <c r="W669"/>
      <c r="X669">
        <f>50/2</f>
        <v>25</v>
      </c>
      <c r="Y669"/>
      <c r="Z669" s="1"/>
      <c r="AA669" s="1"/>
    </row>
    <row r="670" spans="1:27" ht="27" hidden="1" customHeight="1">
      <c r="A670" t="s">
        <v>14</v>
      </c>
      <c r="B670" t="s">
        <v>561</v>
      </c>
      <c r="C670" t="s">
        <v>14</v>
      </c>
      <c r="D670" s="6">
        <v>20000000</v>
      </c>
      <c r="E670"/>
      <c r="F670"/>
      <c r="G670"/>
      <c r="H670" t="s">
        <v>1526</v>
      </c>
      <c r="I670" t="s">
        <v>1921</v>
      </c>
      <c r="J670" s="28">
        <v>54789</v>
      </c>
      <c r="K670" t="s">
        <v>993</v>
      </c>
      <c r="L670" t="s">
        <v>213</v>
      </c>
      <c r="M670"/>
      <c r="N670"/>
      <c r="O670"/>
      <c r="P670"/>
      <c r="Q670" t="s">
        <v>634</v>
      </c>
      <c r="R670" t="s">
        <v>635</v>
      </c>
      <c r="S670" t="s">
        <v>476</v>
      </c>
      <c r="T670">
        <v>50</v>
      </c>
      <c r="U670" s="2">
        <f>Table1[[#This Row],[Coal Power Plant Size (MW) or Share]]*0.593*9057*211.9*10^(-9)</f>
        <v>5.6903636595000001E-2</v>
      </c>
      <c r="V670" s="2">
        <f>Table1[[#This Row],[Annual Emissions (MMTCO2)]]*40</f>
        <v>2.2761454637999998</v>
      </c>
      <c r="W670"/>
      <c r="X670">
        <v>50</v>
      </c>
      <c r="Y670"/>
      <c r="Z670" s="1"/>
      <c r="AA670" s="1"/>
    </row>
    <row r="671" spans="1:27" ht="27" hidden="1" customHeight="1">
      <c r="A671" t="s">
        <v>14</v>
      </c>
      <c r="B671" t="s">
        <v>561</v>
      </c>
      <c r="C671" t="s">
        <v>14</v>
      </c>
      <c r="D671" s="6">
        <v>55050000</v>
      </c>
      <c r="E671"/>
      <c r="F671"/>
      <c r="G671"/>
      <c r="H671" t="s">
        <v>1527</v>
      </c>
      <c r="I671" t="s">
        <v>1868</v>
      </c>
      <c r="J671" s="28">
        <v>54789</v>
      </c>
      <c r="K671" t="s">
        <v>992</v>
      </c>
      <c r="L671" t="s">
        <v>104</v>
      </c>
      <c r="M671"/>
      <c r="N671"/>
      <c r="O671"/>
      <c r="P671"/>
      <c r="Q671" t="s">
        <v>634</v>
      </c>
      <c r="R671" t="s">
        <v>636</v>
      </c>
      <c r="S671" t="s">
        <v>476</v>
      </c>
      <c r="T671">
        <f>158/3</f>
        <v>52.666666666666664</v>
      </c>
      <c r="U671" s="2">
        <f>Table1[[#This Row],[Coal Power Plant Size (MW) or Share]]*0.593*9057*211.9*10^(-9)</f>
        <v>5.9938497213399999E-2</v>
      </c>
      <c r="V671" s="2">
        <f>Table1[[#This Row],[Annual Emissions (MMTCO2)]]*40</f>
        <v>2.397539888536</v>
      </c>
      <c r="W671"/>
      <c r="X671">
        <f>158/3</f>
        <v>52.666666666666664</v>
      </c>
      <c r="Y671"/>
      <c r="Z671" s="1"/>
      <c r="AA671" s="1"/>
    </row>
    <row r="672" spans="1:27" ht="27" hidden="1" customHeight="1">
      <c r="A672" t="s">
        <v>14</v>
      </c>
      <c r="B672" t="s">
        <v>561</v>
      </c>
      <c r="C672" t="s">
        <v>14</v>
      </c>
      <c r="D672" s="6">
        <v>30580000</v>
      </c>
      <c r="E672"/>
      <c r="F672"/>
      <c r="G672"/>
      <c r="H672" t="s">
        <v>1527</v>
      </c>
      <c r="I672" t="s">
        <v>1868</v>
      </c>
      <c r="J672" s="28">
        <v>54789</v>
      </c>
      <c r="K672" t="s">
        <v>992</v>
      </c>
      <c r="L672" t="s">
        <v>104</v>
      </c>
      <c r="M672"/>
      <c r="N672"/>
      <c r="O672"/>
      <c r="P672"/>
      <c r="Q672" t="s">
        <v>634</v>
      </c>
      <c r="R672" t="s">
        <v>636</v>
      </c>
      <c r="S672" t="s">
        <v>476</v>
      </c>
      <c r="T672">
        <f>158/3</f>
        <v>52.666666666666664</v>
      </c>
      <c r="U672" s="2">
        <f>Table1[[#This Row],[Coal Power Plant Size (MW) or Share]]*0.593*9057*211.9*10^(-9)</f>
        <v>5.9938497213399999E-2</v>
      </c>
      <c r="V672" s="2">
        <f>Table1[[#This Row],[Annual Emissions (MMTCO2)]]*40</f>
        <v>2.397539888536</v>
      </c>
      <c r="W672"/>
      <c r="X672">
        <f>158/3</f>
        <v>52.666666666666664</v>
      </c>
      <c r="Y672"/>
      <c r="Z672" s="1"/>
      <c r="AA672" s="1"/>
    </row>
    <row r="673" spans="1:27" ht="27" hidden="1" customHeight="1">
      <c r="A673" t="s">
        <v>14</v>
      </c>
      <c r="B673" t="s">
        <v>561</v>
      </c>
      <c r="C673" t="s">
        <v>14</v>
      </c>
      <c r="D673" s="6">
        <v>20000000</v>
      </c>
      <c r="E673"/>
      <c r="F673"/>
      <c r="G673"/>
      <c r="H673" t="s">
        <v>1544</v>
      </c>
      <c r="I673" t="s">
        <v>1922</v>
      </c>
      <c r="J673" s="28">
        <v>54789</v>
      </c>
      <c r="K673" t="s">
        <v>993</v>
      </c>
      <c r="L673" t="s">
        <v>213</v>
      </c>
      <c r="M673"/>
      <c r="N673"/>
      <c r="O673"/>
      <c r="P673"/>
      <c r="Q673" t="s">
        <v>634</v>
      </c>
      <c r="R673" t="s">
        <v>635</v>
      </c>
      <c r="S673" t="s">
        <v>476</v>
      </c>
      <c r="T673">
        <v>50</v>
      </c>
      <c r="U673" s="2">
        <f>Table1[[#This Row],[Coal Power Plant Size (MW) or Share]]*0.593*9057*211.9*10^(-9)</f>
        <v>5.6903636595000001E-2</v>
      </c>
      <c r="V673" s="2">
        <f>Table1[[#This Row],[Annual Emissions (MMTCO2)]]*40</f>
        <v>2.2761454637999998</v>
      </c>
      <c r="W673"/>
      <c r="X673">
        <v>50</v>
      </c>
      <c r="Y673"/>
      <c r="Z673" s="1"/>
      <c r="AA673" s="1"/>
    </row>
    <row r="674" spans="1:27" ht="27" hidden="1" customHeight="1">
      <c r="A674" t="s">
        <v>14</v>
      </c>
      <c r="B674" t="s">
        <v>561</v>
      </c>
      <c r="C674" t="s">
        <v>14</v>
      </c>
      <c r="D674" s="6">
        <v>59000000</v>
      </c>
      <c r="E674" t="s">
        <v>678</v>
      </c>
      <c r="F674"/>
      <c r="G674"/>
      <c r="H674" t="s">
        <v>610</v>
      </c>
      <c r="I674" t="s">
        <v>679</v>
      </c>
      <c r="J674" s="28">
        <v>54789</v>
      </c>
      <c r="K674" t="s">
        <v>989</v>
      </c>
      <c r="L674" t="s">
        <v>26</v>
      </c>
      <c r="M674" t="s">
        <v>645</v>
      </c>
      <c r="N674"/>
      <c r="O674"/>
      <c r="P674"/>
      <c r="Q674" t="s">
        <v>634</v>
      </c>
      <c r="R674" t="s">
        <v>636</v>
      </c>
      <c r="S674" t="s">
        <v>476</v>
      </c>
      <c r="T674">
        <v>182.4</v>
      </c>
      <c r="U674" s="2">
        <f>Table1[[#This Row],[Coal Power Plant Size (MW) or Share]]*0.593*9057*211.9*10^(-9)</f>
        <v>0.20758446629856001</v>
      </c>
      <c r="V674" s="2">
        <f>Table1[[#This Row],[Annual Emissions (MMTCO2)]]*40</f>
        <v>8.3033786519424009</v>
      </c>
      <c r="W674"/>
      <c r="X674">
        <v>182.4</v>
      </c>
      <c r="Y674"/>
      <c r="Z674" s="1"/>
      <c r="AA674" s="1"/>
    </row>
    <row r="675" spans="1:27" ht="27" hidden="1" customHeight="1">
      <c r="A675" t="s">
        <v>14</v>
      </c>
      <c r="B675" t="s">
        <v>561</v>
      </c>
      <c r="C675" t="s">
        <v>14</v>
      </c>
      <c r="D675" s="6">
        <v>41300000</v>
      </c>
      <c r="E675"/>
      <c r="F675"/>
      <c r="G675"/>
      <c r="H675" t="s">
        <v>1557</v>
      </c>
      <c r="I675" t="s">
        <v>1896</v>
      </c>
      <c r="J675" s="28">
        <v>54789</v>
      </c>
      <c r="K675" t="s">
        <v>990</v>
      </c>
      <c r="L675" t="s">
        <v>1558</v>
      </c>
      <c r="M675"/>
      <c r="N675"/>
      <c r="O675"/>
      <c r="P675"/>
      <c r="Q675" t="s">
        <v>634</v>
      </c>
      <c r="R675" t="s">
        <v>635</v>
      </c>
      <c r="S675" t="s">
        <v>476</v>
      </c>
      <c r="T675">
        <v>93</v>
      </c>
      <c r="U675" s="2">
        <f>Table1[[#This Row],[Coal Power Plant Size (MW) or Share]]*0.593*9057*211.9*10^(-9)</f>
        <v>0.10584076406670002</v>
      </c>
      <c r="V675" s="2">
        <f>Table1[[#This Row],[Annual Emissions (MMTCO2)]]*40</f>
        <v>4.2336305626680009</v>
      </c>
      <c r="W675"/>
      <c r="X675">
        <v>93</v>
      </c>
      <c r="Y675"/>
      <c r="Z675" s="1"/>
      <c r="AA675" s="1"/>
    </row>
    <row r="676" spans="1:27" ht="27" hidden="1" customHeight="1">
      <c r="A676" t="s">
        <v>14</v>
      </c>
      <c r="B676" t="s">
        <v>561</v>
      </c>
      <c r="C676" t="s">
        <v>14</v>
      </c>
      <c r="D676" s="6">
        <v>48000000</v>
      </c>
      <c r="E676"/>
      <c r="F676"/>
      <c r="G676"/>
      <c r="H676" t="s">
        <v>592</v>
      </c>
      <c r="I676" t="s">
        <v>654</v>
      </c>
      <c r="J676" s="28">
        <v>54789</v>
      </c>
      <c r="K676" t="s">
        <v>991</v>
      </c>
      <c r="L676" t="s">
        <v>67</v>
      </c>
      <c r="M676"/>
      <c r="N676"/>
      <c r="O676"/>
      <c r="P676"/>
      <c r="Q676" t="s">
        <v>634</v>
      </c>
      <c r="R676" t="s">
        <v>636</v>
      </c>
      <c r="S676" t="s">
        <v>476</v>
      </c>
      <c r="T676">
        <v>20.83</v>
      </c>
      <c r="U676" s="2">
        <f>Table1[[#This Row],[Coal Power Plant Size (MW) or Share]]*0.593*9057*211.9*10^(-9)</f>
        <v>2.3706055005477001E-2</v>
      </c>
      <c r="V676" s="2">
        <f>Table1[[#This Row],[Annual Emissions (MMTCO2)]]*40</f>
        <v>0.94824220021908001</v>
      </c>
      <c r="W676"/>
      <c r="X676">
        <v>20.83</v>
      </c>
      <c r="Y676"/>
      <c r="Z676" s="1"/>
      <c r="AA676" s="1"/>
    </row>
    <row r="677" spans="1:27" ht="27" hidden="1" customHeight="1">
      <c r="A677" t="s">
        <v>14</v>
      </c>
      <c r="B677" t="s">
        <v>561</v>
      </c>
      <c r="C677" t="s">
        <v>14</v>
      </c>
      <c r="D677" s="6">
        <v>19300000</v>
      </c>
      <c r="E677"/>
      <c r="F677"/>
      <c r="G677"/>
      <c r="H677" t="s">
        <v>1566</v>
      </c>
      <c r="I677" t="s">
        <v>1838</v>
      </c>
      <c r="J677" s="28">
        <v>54789</v>
      </c>
      <c r="K677" t="s">
        <v>989</v>
      </c>
      <c r="L677" t="s">
        <v>1567</v>
      </c>
      <c r="M677"/>
      <c r="N677"/>
      <c r="O677"/>
      <c r="P677"/>
      <c r="Q677" t="s">
        <v>634</v>
      </c>
      <c r="R677" t="s">
        <v>640</v>
      </c>
      <c r="S677" t="s">
        <v>476</v>
      </c>
      <c r="T677">
        <f>37.6/3</f>
        <v>12.533333333333333</v>
      </c>
      <c r="U677" s="2">
        <f>Table1[[#This Row],[Coal Power Plant Size (MW) or Share]]*0.593*9057*211.9*10^(-9)</f>
        <v>1.426384490648E-2</v>
      </c>
      <c r="V677" s="2">
        <f>Table1[[#This Row],[Annual Emissions (MMTCO2)]]*40</f>
        <v>0.5705537962592</v>
      </c>
      <c r="W677"/>
      <c r="X677">
        <f>37.6/3</f>
        <v>12.533333333333333</v>
      </c>
      <c r="Y677"/>
      <c r="Z677" s="1"/>
      <c r="AA677" s="1"/>
    </row>
    <row r="678" spans="1:27" ht="27" hidden="1" customHeight="1">
      <c r="A678" t="s">
        <v>14</v>
      </c>
      <c r="B678" t="s">
        <v>561</v>
      </c>
      <c r="C678" t="s">
        <v>14</v>
      </c>
      <c r="D678" s="6">
        <v>12500000</v>
      </c>
      <c r="E678"/>
      <c r="F678"/>
      <c r="G678"/>
      <c r="H678" t="s">
        <v>1575</v>
      </c>
      <c r="I678" t="s">
        <v>1948</v>
      </c>
      <c r="J678" s="28">
        <v>54789</v>
      </c>
      <c r="K678" t="s">
        <v>1482</v>
      </c>
      <c r="L678" t="s">
        <v>705</v>
      </c>
      <c r="M678"/>
      <c r="N678"/>
      <c r="O678"/>
      <c r="P678"/>
      <c r="Q678" t="s">
        <v>634</v>
      </c>
      <c r="R678" t="s">
        <v>640</v>
      </c>
      <c r="S678" t="s">
        <v>476</v>
      </c>
      <c r="T678">
        <v>16</v>
      </c>
      <c r="U678" s="2">
        <f>Table1[[#This Row],[Coal Power Plant Size (MW) or Share]]*0.593*9057*211.9*10^(-9)</f>
        <v>1.82091637104E-2</v>
      </c>
      <c r="V678" s="2">
        <f>Table1[[#This Row],[Annual Emissions (MMTCO2)]]*40</f>
        <v>0.72836654841600001</v>
      </c>
      <c r="W678"/>
      <c r="X678">
        <v>16</v>
      </c>
      <c r="Y678"/>
      <c r="Z678" s="1"/>
      <c r="AA678" s="1"/>
    </row>
    <row r="679" spans="1:27" ht="27" hidden="1" customHeight="1">
      <c r="A679" t="s">
        <v>14</v>
      </c>
      <c r="B679" t="s">
        <v>561</v>
      </c>
      <c r="C679" t="s">
        <v>14</v>
      </c>
      <c r="D679" s="6">
        <v>22500000</v>
      </c>
      <c r="E679" t="s">
        <v>580</v>
      </c>
      <c r="F679"/>
      <c r="G679"/>
      <c r="H679" t="s">
        <v>607</v>
      </c>
      <c r="I679" t="s">
        <v>675</v>
      </c>
      <c r="J679" s="28">
        <v>54789</v>
      </c>
      <c r="K679" t="s">
        <v>989</v>
      </c>
      <c r="L679" t="s">
        <v>78</v>
      </c>
      <c r="M679"/>
      <c r="N679"/>
      <c r="O679"/>
      <c r="P679"/>
      <c r="Q679" t="s">
        <v>634</v>
      </c>
      <c r="R679" t="s">
        <v>636</v>
      </c>
      <c r="S679" t="s">
        <v>646</v>
      </c>
      <c r="T679"/>
      <c r="U679" s="2">
        <f>Table1[[#This Row],[Coal Power Plant Size (MW) or Share]]*0.593*9057*211.9*10^(-9)</f>
        <v>0</v>
      </c>
      <c r="V679" s="2">
        <f>Table1[[#This Row],[Annual Emissions (MMTCO2)]]*40</f>
        <v>0</v>
      </c>
      <c r="W679"/>
      <c r="X679"/>
      <c r="Y679"/>
      <c r="Z679" s="1"/>
      <c r="AA679" s="1"/>
    </row>
    <row r="680" spans="1:27" ht="27" hidden="1" customHeight="1">
      <c r="A680" t="s">
        <v>14</v>
      </c>
      <c r="B680" t="s">
        <v>561</v>
      </c>
      <c r="C680" t="s">
        <v>14</v>
      </c>
      <c r="D680" s="6">
        <v>0</v>
      </c>
      <c r="E680"/>
      <c r="F680"/>
      <c r="G680"/>
      <c r="H680" t="s">
        <v>1584</v>
      </c>
      <c r="I680" t="s">
        <v>1846</v>
      </c>
      <c r="J680" s="28">
        <v>54789</v>
      </c>
      <c r="K680" t="s">
        <v>990</v>
      </c>
      <c r="L680" t="s">
        <v>305</v>
      </c>
      <c r="M680"/>
      <c r="N680"/>
      <c r="O680"/>
      <c r="P680"/>
      <c r="Q680" t="s">
        <v>634</v>
      </c>
      <c r="R680" t="s">
        <v>640</v>
      </c>
      <c r="S680" t="s">
        <v>476</v>
      </c>
      <c r="T680">
        <f>39.8/2</f>
        <v>19.899999999999999</v>
      </c>
      <c r="U680" s="2">
        <f>Table1[[#This Row],[Coal Power Plant Size (MW) or Share]]*0.593*9057*211.9*10^(-9)</f>
        <v>2.2647647364810002E-2</v>
      </c>
      <c r="V680" s="2">
        <f>Table1[[#This Row],[Annual Emissions (MMTCO2)]]*40</f>
        <v>0.90590589459240012</v>
      </c>
      <c r="W680"/>
      <c r="X680">
        <f>39.8/2</f>
        <v>19.899999999999999</v>
      </c>
      <c r="Y680"/>
      <c r="Z680" s="1"/>
      <c r="AA680" s="1"/>
    </row>
    <row r="681" spans="1:27" ht="27" hidden="1" customHeight="1">
      <c r="A681" t="s">
        <v>14</v>
      </c>
      <c r="B681" t="s">
        <v>561</v>
      </c>
      <c r="C681" t="s">
        <v>14</v>
      </c>
      <c r="D681" s="6">
        <v>14000000</v>
      </c>
      <c r="E681"/>
      <c r="F681"/>
      <c r="G681"/>
      <c r="H681" t="s">
        <v>1591</v>
      </c>
      <c r="I681" t="s">
        <v>1954</v>
      </c>
      <c r="J681" s="28">
        <v>54789</v>
      </c>
      <c r="K681" t="s">
        <v>1482</v>
      </c>
      <c r="L681" t="s">
        <v>197</v>
      </c>
      <c r="M681"/>
      <c r="N681"/>
      <c r="O681"/>
      <c r="P681"/>
      <c r="Q681" t="s">
        <v>634</v>
      </c>
      <c r="R681" t="s">
        <v>635</v>
      </c>
      <c r="S681" t="s">
        <v>476</v>
      </c>
      <c r="T681">
        <f>55/2</f>
        <v>27.5</v>
      </c>
      <c r="U681" s="2">
        <f>Table1[[#This Row],[Coal Power Plant Size (MW) or Share]]*0.593*9057*211.9*10^(-9)</f>
        <v>3.1297000127249994E-2</v>
      </c>
      <c r="V681" s="2">
        <f>Table1[[#This Row],[Annual Emissions (MMTCO2)]]*40</f>
        <v>1.2518800050899999</v>
      </c>
      <c r="W681"/>
      <c r="X681">
        <f>55/2</f>
        <v>27.5</v>
      </c>
      <c r="Y681"/>
      <c r="Z681" s="1"/>
      <c r="AA681" s="1"/>
    </row>
    <row r="682" spans="1:27" ht="27" hidden="1" customHeight="1">
      <c r="A682" t="s">
        <v>14</v>
      </c>
      <c r="B682" t="s">
        <v>561</v>
      </c>
      <c r="C682" t="s">
        <v>14</v>
      </c>
      <c r="D682" s="6">
        <v>200000000</v>
      </c>
      <c r="E682"/>
      <c r="F682"/>
      <c r="G682"/>
      <c r="H682" t="s">
        <v>1599</v>
      </c>
      <c r="I682" t="s">
        <v>1906</v>
      </c>
      <c r="J682" s="28">
        <v>54789</v>
      </c>
      <c r="K682" t="s">
        <v>993</v>
      </c>
      <c r="L682" t="s">
        <v>1478</v>
      </c>
      <c r="M682"/>
      <c r="N682"/>
      <c r="O682"/>
      <c r="P682"/>
      <c r="Q682" t="s">
        <v>634</v>
      </c>
      <c r="R682" t="s">
        <v>635</v>
      </c>
      <c r="S682" t="s">
        <v>476</v>
      </c>
      <c r="T682">
        <v>200</v>
      </c>
      <c r="U682" s="2">
        <f>Table1[[#This Row],[Coal Power Plant Size (MW) or Share]]*0.593*9057*211.9*10^(-9)</f>
        <v>0.22761454638</v>
      </c>
      <c r="V682" s="2">
        <f>Table1[[#This Row],[Annual Emissions (MMTCO2)]]*40</f>
        <v>9.1045818551999993</v>
      </c>
      <c r="W682"/>
      <c r="X682">
        <v>200</v>
      </c>
      <c r="Y682"/>
      <c r="Z682" s="1"/>
      <c r="AA682" s="1"/>
    </row>
    <row r="683" spans="1:27" ht="27" hidden="1" customHeight="1">
      <c r="A683" t="s">
        <v>14</v>
      </c>
      <c r="B683" t="s">
        <v>561</v>
      </c>
      <c r="C683" t="s">
        <v>14</v>
      </c>
      <c r="D683" s="6">
        <v>63000000</v>
      </c>
      <c r="E683"/>
      <c r="F683"/>
      <c r="G683"/>
      <c r="H683" t="s">
        <v>1605</v>
      </c>
      <c r="I683" t="s">
        <v>1907</v>
      </c>
      <c r="J683" s="28">
        <v>54789</v>
      </c>
      <c r="K683" t="s">
        <v>1482</v>
      </c>
      <c r="L683" t="s">
        <v>71</v>
      </c>
      <c r="M683"/>
      <c r="N683"/>
      <c r="O683"/>
      <c r="P683"/>
      <c r="Q683" t="s">
        <v>634</v>
      </c>
      <c r="R683" t="s">
        <v>635</v>
      </c>
      <c r="S683" t="s">
        <v>476</v>
      </c>
      <c r="T683">
        <v>40.5</v>
      </c>
      <c r="U683" s="2">
        <f>Table1[[#This Row],[Coal Power Plant Size (MW) or Share]]*0.593*9057*211.9*10^(-9)</f>
        <v>4.6091945641950009E-2</v>
      </c>
      <c r="V683" s="2">
        <f>Table1[[#This Row],[Annual Emissions (MMTCO2)]]*40</f>
        <v>1.8436778256780004</v>
      </c>
      <c r="W683"/>
      <c r="X683">
        <v>40.5</v>
      </c>
      <c r="Y683"/>
      <c r="Z683" s="1"/>
      <c r="AA683" s="1"/>
    </row>
    <row r="684" spans="1:27" ht="27" hidden="1" customHeight="1">
      <c r="A684" t="s">
        <v>14</v>
      </c>
      <c r="B684" t="s">
        <v>561</v>
      </c>
      <c r="C684" t="s">
        <v>14</v>
      </c>
      <c r="D684" s="6">
        <v>72000000</v>
      </c>
      <c r="E684"/>
      <c r="F684"/>
      <c r="G684"/>
      <c r="H684" t="s">
        <v>1649</v>
      </c>
      <c r="I684" t="s">
        <v>1866</v>
      </c>
      <c r="J684" s="28">
        <v>54789</v>
      </c>
      <c r="K684" t="s">
        <v>1482</v>
      </c>
      <c r="L684" t="s">
        <v>31</v>
      </c>
      <c r="M684"/>
      <c r="N684"/>
      <c r="O684"/>
      <c r="P684"/>
      <c r="Q684" t="s">
        <v>634</v>
      </c>
      <c r="R684" t="s">
        <v>1474</v>
      </c>
      <c r="S684" t="s">
        <v>476</v>
      </c>
      <c r="T684">
        <f>100/3</f>
        <v>33.333333333333336</v>
      </c>
      <c r="U684" s="2">
        <f>Table1[[#This Row],[Coal Power Plant Size (MW) or Share]]*0.593*9057*211.9*10^(-9)</f>
        <v>3.7935757729999998E-2</v>
      </c>
      <c r="V684" s="2">
        <f>Table1[[#This Row],[Annual Emissions (MMTCO2)]]*40</f>
        <v>1.5174303091999999</v>
      </c>
      <c r="W684"/>
      <c r="X684">
        <f>100/3</f>
        <v>33.333333333333336</v>
      </c>
      <c r="Y684"/>
      <c r="Z684" s="1"/>
      <c r="AA684" s="1"/>
    </row>
    <row r="685" spans="1:27" ht="27" hidden="1" customHeight="1">
      <c r="A685" t="s">
        <v>14</v>
      </c>
      <c r="B685" t="s">
        <v>561</v>
      </c>
      <c r="C685" t="s">
        <v>14</v>
      </c>
      <c r="D685" s="6">
        <v>25300000</v>
      </c>
      <c r="E685"/>
      <c r="F685"/>
      <c r="G685"/>
      <c r="H685" t="s">
        <v>1660</v>
      </c>
      <c r="I685" t="s">
        <v>1890</v>
      </c>
      <c r="J685" s="28">
        <v>54789</v>
      </c>
      <c r="K685" t="s">
        <v>1482</v>
      </c>
      <c r="L685" t="s">
        <v>1661</v>
      </c>
      <c r="M685"/>
      <c r="N685"/>
      <c r="O685"/>
      <c r="P685"/>
      <c r="Q685" t="s">
        <v>634</v>
      </c>
      <c r="R685" t="s">
        <v>635</v>
      </c>
      <c r="S685" t="s">
        <v>476</v>
      </c>
      <c r="T685">
        <f>33/2</f>
        <v>16.5</v>
      </c>
      <c r="U685" s="2">
        <f>Table1[[#This Row],[Coal Power Plant Size (MW) or Share]]*0.593*9057*211.9*10^(-9)</f>
        <v>1.8778200076350001E-2</v>
      </c>
      <c r="V685" s="2">
        <f>Table1[[#This Row],[Annual Emissions (MMTCO2)]]*40</f>
        <v>0.75112800305400007</v>
      </c>
      <c r="W685"/>
      <c r="X685">
        <f>33/2</f>
        <v>16.5</v>
      </c>
      <c r="Y685"/>
      <c r="Z685" s="1"/>
      <c r="AA685" s="1"/>
    </row>
    <row r="686" spans="1:27" ht="27" hidden="1" customHeight="1">
      <c r="A686" t="s">
        <v>14</v>
      </c>
      <c r="B686" t="s">
        <v>561</v>
      </c>
      <c r="C686" t="s">
        <v>14</v>
      </c>
      <c r="D686" s="6">
        <v>27500000</v>
      </c>
      <c r="E686"/>
      <c r="F686"/>
      <c r="G686"/>
      <c r="H686" t="s">
        <v>1681</v>
      </c>
      <c r="I686" t="s">
        <v>1955</v>
      </c>
      <c r="J686" s="28">
        <v>54789</v>
      </c>
      <c r="K686" t="s">
        <v>993</v>
      </c>
      <c r="L686" t="s">
        <v>1478</v>
      </c>
      <c r="M686"/>
      <c r="N686"/>
      <c r="O686"/>
      <c r="P686"/>
      <c r="Q686" t="s">
        <v>634</v>
      </c>
      <c r="R686" t="s">
        <v>636</v>
      </c>
      <c r="S686" t="s">
        <v>476</v>
      </c>
      <c r="T686">
        <f>49.5/2</f>
        <v>24.75</v>
      </c>
      <c r="U686" s="2">
        <f>Table1[[#This Row],[Coal Power Plant Size (MW) or Share]]*0.593*9057*211.9*10^(-9)</f>
        <v>2.8167300114525003E-2</v>
      </c>
      <c r="V686" s="2">
        <f>Table1[[#This Row],[Annual Emissions (MMTCO2)]]*40</f>
        <v>1.1266920045810001</v>
      </c>
      <c r="W686"/>
      <c r="X686">
        <f>49.5/2</f>
        <v>24.75</v>
      </c>
      <c r="Y686"/>
      <c r="Z686" s="1"/>
      <c r="AA686" s="1"/>
    </row>
    <row r="687" spans="1:27" ht="27" hidden="1" customHeight="1">
      <c r="A687" t="s">
        <v>14</v>
      </c>
      <c r="B687" t="s">
        <v>561</v>
      </c>
      <c r="C687" t="s">
        <v>14</v>
      </c>
      <c r="D687" s="6">
        <v>5500000</v>
      </c>
      <c r="E687"/>
      <c r="F687"/>
      <c r="G687"/>
      <c r="H687" t="s">
        <v>1681</v>
      </c>
      <c r="I687" t="s">
        <v>1955</v>
      </c>
      <c r="J687" s="28">
        <v>54789</v>
      </c>
      <c r="K687" t="s">
        <v>993</v>
      </c>
      <c r="L687" t="s">
        <v>1478</v>
      </c>
      <c r="M687"/>
      <c r="N687"/>
      <c r="O687"/>
      <c r="P687"/>
      <c r="Q687" t="s">
        <v>634</v>
      </c>
      <c r="R687" t="s">
        <v>636</v>
      </c>
      <c r="S687" t="s">
        <v>476</v>
      </c>
      <c r="T687">
        <f>49.5/2</f>
        <v>24.75</v>
      </c>
      <c r="U687" s="2">
        <f>Table1[[#This Row],[Coal Power Plant Size (MW) or Share]]*0.593*9057*211.9*10^(-9)</f>
        <v>2.8167300114525003E-2</v>
      </c>
      <c r="V687" s="2">
        <f>Table1[[#This Row],[Annual Emissions (MMTCO2)]]*40</f>
        <v>1.1266920045810001</v>
      </c>
      <c r="W687"/>
      <c r="X687">
        <f>49.5/2</f>
        <v>24.75</v>
      </c>
      <c r="Y687"/>
      <c r="Z687" s="1"/>
      <c r="AA687" s="1"/>
    </row>
    <row r="688" spans="1:27" ht="27" hidden="1" customHeight="1">
      <c r="A688" t="s">
        <v>14</v>
      </c>
      <c r="B688" t="s">
        <v>561</v>
      </c>
      <c r="C688" t="s">
        <v>14</v>
      </c>
      <c r="D688" s="6">
        <v>20000000</v>
      </c>
      <c r="E688"/>
      <c r="F688"/>
      <c r="G688"/>
      <c r="H688" t="s">
        <v>1686</v>
      </c>
      <c r="I688" t="s">
        <v>1923</v>
      </c>
      <c r="J688" s="28">
        <v>54789</v>
      </c>
      <c r="K688" t="s">
        <v>993</v>
      </c>
      <c r="L688" t="s">
        <v>213</v>
      </c>
      <c r="M688"/>
      <c r="N688"/>
      <c r="O688"/>
      <c r="P688"/>
      <c r="Q688" t="s">
        <v>634</v>
      </c>
      <c r="R688" t="s">
        <v>635</v>
      </c>
      <c r="S688" t="s">
        <v>476</v>
      </c>
      <c r="T688">
        <v>50</v>
      </c>
      <c r="U688" s="2">
        <f>Table1[[#This Row],[Coal Power Plant Size (MW) or Share]]*0.593*9057*211.9*10^(-9)</f>
        <v>5.6903636595000001E-2</v>
      </c>
      <c r="V688" s="2">
        <f>Table1[[#This Row],[Annual Emissions (MMTCO2)]]*40</f>
        <v>2.2761454637999998</v>
      </c>
      <c r="W688"/>
      <c r="X688">
        <v>50</v>
      </c>
      <c r="Y688"/>
      <c r="Z688" s="1"/>
      <c r="AA688" s="1"/>
    </row>
    <row r="689" spans="1:27" ht="27" hidden="1" customHeight="1">
      <c r="A689" t="s">
        <v>14</v>
      </c>
      <c r="B689" t="s">
        <v>561</v>
      </c>
      <c r="C689" t="s">
        <v>14</v>
      </c>
      <c r="D689" s="6">
        <v>20000000</v>
      </c>
      <c r="E689"/>
      <c r="F689"/>
      <c r="G689"/>
      <c r="H689" t="s">
        <v>1687</v>
      </c>
      <c r="I689" t="s">
        <v>1924</v>
      </c>
      <c r="J689" s="28">
        <v>54789</v>
      </c>
      <c r="K689" t="s">
        <v>993</v>
      </c>
      <c r="L689" t="s">
        <v>213</v>
      </c>
      <c r="M689"/>
      <c r="N689"/>
      <c r="O689"/>
      <c r="P689"/>
      <c r="Q689" t="s">
        <v>634</v>
      </c>
      <c r="R689" t="s">
        <v>635</v>
      </c>
      <c r="S689" t="s">
        <v>476</v>
      </c>
      <c r="T689">
        <v>50</v>
      </c>
      <c r="U689" s="2">
        <f>Table1[[#This Row],[Coal Power Plant Size (MW) or Share]]*0.593*9057*211.9*10^(-9)</f>
        <v>5.6903636595000001E-2</v>
      </c>
      <c r="V689" s="2">
        <f>Table1[[#This Row],[Annual Emissions (MMTCO2)]]*40</f>
        <v>2.2761454637999998</v>
      </c>
      <c r="W689"/>
      <c r="X689">
        <v>50</v>
      </c>
      <c r="Y689"/>
      <c r="Z689" s="1"/>
      <c r="AA689" s="1"/>
    </row>
    <row r="690" spans="1:27" ht="27" hidden="1" customHeight="1">
      <c r="A690" t="s">
        <v>14</v>
      </c>
      <c r="B690" t="s">
        <v>561</v>
      </c>
      <c r="C690" t="s">
        <v>14</v>
      </c>
      <c r="D690" s="6">
        <f>117500000+78600000+104700000</f>
        <v>300800000</v>
      </c>
      <c r="E690" t="s">
        <v>1179</v>
      </c>
      <c r="F690"/>
      <c r="G690"/>
      <c r="H690" t="s">
        <v>605</v>
      </c>
      <c r="I690" t="s">
        <v>673</v>
      </c>
      <c r="J690" s="28">
        <v>54789</v>
      </c>
      <c r="K690" t="s">
        <v>991</v>
      </c>
      <c r="L690" t="s">
        <v>27</v>
      </c>
      <c r="M690"/>
      <c r="N690" t="s">
        <v>1178</v>
      </c>
      <c r="O690"/>
      <c r="P690"/>
      <c r="Q690" t="s">
        <v>634</v>
      </c>
      <c r="R690" t="s">
        <v>639</v>
      </c>
      <c r="S690" t="s">
        <v>476</v>
      </c>
      <c r="T690"/>
      <c r="U690" s="2">
        <f>Table1[[#This Row],[Coal Power Plant Size (MW) or Share]]*0.593*9057*211.9*10^(-9)</f>
        <v>0</v>
      </c>
      <c r="V690" s="2">
        <f>Table1[[#This Row],[Annual Emissions (MMTCO2)]]*40</f>
        <v>0</v>
      </c>
      <c r="W690"/>
      <c r="X690"/>
      <c r="Y690"/>
      <c r="Z690" s="1"/>
      <c r="AA690" s="1"/>
    </row>
    <row r="691" spans="1:27" ht="27" hidden="1" customHeight="1">
      <c r="A691" t="s">
        <v>14</v>
      </c>
      <c r="B691" t="s">
        <v>561</v>
      </c>
      <c r="C691" t="s">
        <v>14</v>
      </c>
      <c r="D691" s="6">
        <v>104700000</v>
      </c>
      <c r="E691"/>
      <c r="F691"/>
      <c r="G691"/>
      <c r="H691" t="s">
        <v>605</v>
      </c>
      <c r="I691" t="s">
        <v>673</v>
      </c>
      <c r="J691" s="28">
        <v>54789</v>
      </c>
      <c r="K691" t="s">
        <v>991</v>
      </c>
      <c r="L691" t="s">
        <v>27</v>
      </c>
      <c r="M691"/>
      <c r="N691"/>
      <c r="O691"/>
      <c r="P691"/>
      <c r="Q691" t="s">
        <v>634</v>
      </c>
      <c r="R691" t="s">
        <v>639</v>
      </c>
      <c r="S691" t="s">
        <v>476</v>
      </c>
      <c r="T691"/>
      <c r="U691" s="2">
        <f>Table1[[#This Row],[Coal Power Plant Size (MW) or Share]]*0.593*9057*211.9*10^(-9)</f>
        <v>0</v>
      </c>
      <c r="V691" s="2">
        <f>Table1[[#This Row],[Annual Emissions (MMTCO2)]]*40</f>
        <v>0</v>
      </c>
      <c r="W691"/>
      <c r="X691"/>
      <c r="Y691"/>
      <c r="Z691" s="1"/>
      <c r="AA691" s="1"/>
    </row>
    <row r="692" spans="1:27" ht="27" hidden="1" customHeight="1">
      <c r="A692" t="s">
        <v>14</v>
      </c>
      <c r="B692" t="s">
        <v>561</v>
      </c>
      <c r="C692" t="s">
        <v>14</v>
      </c>
      <c r="D692" s="6">
        <v>117500000</v>
      </c>
      <c r="E692"/>
      <c r="F692"/>
      <c r="G692"/>
      <c r="H692" t="s">
        <v>605</v>
      </c>
      <c r="I692" t="s">
        <v>673</v>
      </c>
      <c r="J692" s="28">
        <v>54789</v>
      </c>
      <c r="K692" t="s">
        <v>991</v>
      </c>
      <c r="L692" t="s">
        <v>27</v>
      </c>
      <c r="M692"/>
      <c r="N692"/>
      <c r="O692"/>
      <c r="P692"/>
      <c r="Q692" t="s">
        <v>634</v>
      </c>
      <c r="R692" t="s">
        <v>639</v>
      </c>
      <c r="S692" t="s">
        <v>476</v>
      </c>
      <c r="T692"/>
      <c r="U692" s="2">
        <f>Table1[[#This Row],[Coal Power Plant Size (MW) or Share]]*0.593*9057*211.9*10^(-9)</f>
        <v>0</v>
      </c>
      <c r="V692" s="2">
        <f>Table1[[#This Row],[Annual Emissions (MMTCO2)]]*40</f>
        <v>0</v>
      </c>
      <c r="W692"/>
      <c r="X692"/>
      <c r="Y692"/>
      <c r="Z692" s="1"/>
      <c r="AA692" s="1"/>
    </row>
    <row r="693" spans="1:27" ht="27" hidden="1" customHeight="1">
      <c r="A693" t="s">
        <v>14</v>
      </c>
      <c r="B693" t="s">
        <v>561</v>
      </c>
      <c r="C693" t="s">
        <v>14</v>
      </c>
      <c r="D693" s="6">
        <v>78600000</v>
      </c>
      <c r="E693"/>
      <c r="F693"/>
      <c r="G693"/>
      <c r="H693" t="s">
        <v>605</v>
      </c>
      <c r="I693" t="s">
        <v>673</v>
      </c>
      <c r="J693" s="28">
        <v>54789</v>
      </c>
      <c r="K693" t="s">
        <v>991</v>
      </c>
      <c r="L693" t="s">
        <v>27</v>
      </c>
      <c r="M693"/>
      <c r="N693"/>
      <c r="O693"/>
      <c r="P693"/>
      <c r="Q693" t="s">
        <v>634</v>
      </c>
      <c r="R693" t="s">
        <v>639</v>
      </c>
      <c r="S693" t="s">
        <v>476</v>
      </c>
      <c r="T693"/>
      <c r="U693" s="2">
        <f>Table1[[#This Row],[Coal Power Plant Size (MW) or Share]]*0.593*9057*211.9*10^(-9)</f>
        <v>0</v>
      </c>
      <c r="V693" s="2">
        <f>Table1[[#This Row],[Annual Emissions (MMTCO2)]]*40</f>
        <v>0</v>
      </c>
      <c r="W693"/>
      <c r="X693"/>
      <c r="Y693"/>
      <c r="Z693" s="1"/>
      <c r="AA693" s="1"/>
    </row>
    <row r="694" spans="1:27" ht="27" hidden="1" customHeight="1">
      <c r="A694" t="s">
        <v>14</v>
      </c>
      <c r="B694" t="s">
        <v>561</v>
      </c>
      <c r="C694" t="s">
        <v>14</v>
      </c>
      <c r="D694" s="6">
        <v>11220000</v>
      </c>
      <c r="E694"/>
      <c r="F694"/>
      <c r="G694"/>
      <c r="H694" t="s">
        <v>1719</v>
      </c>
      <c r="I694" t="s">
        <v>1832</v>
      </c>
      <c r="J694" s="28">
        <v>54789</v>
      </c>
      <c r="K694" t="s">
        <v>1482</v>
      </c>
      <c r="L694" t="s">
        <v>1630</v>
      </c>
      <c r="M694"/>
      <c r="N694"/>
      <c r="O694"/>
      <c r="P694"/>
      <c r="Q694" t="s">
        <v>634</v>
      </c>
      <c r="R694" t="s">
        <v>635</v>
      </c>
      <c r="S694" t="s">
        <v>476</v>
      </c>
      <c r="T694">
        <v>26.8</v>
      </c>
      <c r="U694" s="2">
        <f>Table1[[#This Row],[Coal Power Plant Size (MW) or Share]]*0.593*9057*211.9*10^(-9)</f>
        <v>3.0500349214920001E-2</v>
      </c>
      <c r="V694" s="2">
        <f>Table1[[#This Row],[Annual Emissions (MMTCO2)]]*40</f>
        <v>1.2200139685968001</v>
      </c>
      <c r="W694"/>
      <c r="X694">
        <v>26.8</v>
      </c>
      <c r="Y694"/>
      <c r="Z694" s="1"/>
      <c r="AA694" s="1"/>
    </row>
    <row r="695" spans="1:27" ht="27" hidden="1" customHeight="1">
      <c r="A695" t="s">
        <v>14</v>
      </c>
      <c r="B695" t="s">
        <v>562</v>
      </c>
      <c r="C695" t="s">
        <v>14</v>
      </c>
      <c r="D695" s="6">
        <v>41250000</v>
      </c>
      <c r="E695"/>
      <c r="F695"/>
      <c r="G695"/>
      <c r="H695" t="s">
        <v>1522</v>
      </c>
      <c r="I695" t="s">
        <v>1915</v>
      </c>
      <c r="J695" s="28">
        <v>54789</v>
      </c>
      <c r="K695" t="s">
        <v>993</v>
      </c>
      <c r="L695" t="s">
        <v>1478</v>
      </c>
      <c r="M695"/>
      <c r="N695"/>
      <c r="O695"/>
      <c r="P695"/>
      <c r="Q695" t="s">
        <v>634</v>
      </c>
      <c r="R695" t="s">
        <v>636</v>
      </c>
      <c r="S695" t="s">
        <v>476</v>
      </c>
      <c r="T695">
        <f>50/2</f>
        <v>25</v>
      </c>
      <c r="U695" s="2">
        <f>Table1[[#This Row],[Coal Power Plant Size (MW) or Share]]*0.593*9057*211.9*10^(-9)</f>
        <v>2.8451818297500001E-2</v>
      </c>
      <c r="V695" s="2">
        <f>Table1[[#This Row],[Annual Emissions (MMTCO2)]]*40</f>
        <v>1.1380727318999999</v>
      </c>
      <c r="W695"/>
      <c r="X695">
        <f>50/2</f>
        <v>25</v>
      </c>
      <c r="Y695"/>
      <c r="Z695" s="1"/>
      <c r="AA695" s="1"/>
    </row>
    <row r="696" spans="1:27" ht="27" hidden="1" customHeight="1">
      <c r="A696" t="s">
        <v>14</v>
      </c>
      <c r="B696" t="s">
        <v>1019</v>
      </c>
      <c r="C696" t="s">
        <v>14</v>
      </c>
      <c r="D696" s="6">
        <v>195000000</v>
      </c>
      <c r="E696"/>
      <c r="F696"/>
      <c r="G696"/>
      <c r="H696" t="s">
        <v>1573</v>
      </c>
      <c r="I696" t="s">
        <v>1793</v>
      </c>
      <c r="J696" s="28">
        <v>54789</v>
      </c>
      <c r="K696" t="s">
        <v>1482</v>
      </c>
      <c r="L696" t="s">
        <v>31</v>
      </c>
      <c r="M696"/>
      <c r="N696"/>
      <c r="O696"/>
      <c r="P696"/>
      <c r="Q696" t="s">
        <v>634</v>
      </c>
      <c r="R696" t="s">
        <v>1474</v>
      </c>
      <c r="S696" t="s">
        <v>476</v>
      </c>
      <c r="T696">
        <f>100/6</f>
        <v>16.666666666666668</v>
      </c>
      <c r="U696" s="2">
        <f>Table1[[#This Row],[Coal Power Plant Size (MW) or Share]]*0.593*9057*211.9*10^(-9)</f>
        <v>1.8967878864999999E-2</v>
      </c>
      <c r="V696" s="2">
        <f>Table1[[#This Row],[Annual Emissions (MMTCO2)]]*40</f>
        <v>0.75871515459999994</v>
      </c>
      <c r="W696"/>
      <c r="X696">
        <f>100/6</f>
        <v>16.666666666666668</v>
      </c>
      <c r="Y696"/>
      <c r="Z696" s="1"/>
      <c r="AA696" s="1"/>
    </row>
    <row r="697" spans="1:27" ht="27" hidden="1" customHeight="1">
      <c r="A697" t="s">
        <v>14</v>
      </c>
      <c r="B697" t="s">
        <v>1019</v>
      </c>
      <c r="C697" t="s">
        <v>14</v>
      </c>
      <c r="D697" s="6">
        <v>85000000</v>
      </c>
      <c r="E697"/>
      <c r="F697"/>
      <c r="G697"/>
      <c r="H697" t="s">
        <v>1712</v>
      </c>
      <c r="I697" t="s">
        <v>1919</v>
      </c>
      <c r="J697" s="28">
        <v>54789</v>
      </c>
      <c r="K697" t="s">
        <v>993</v>
      </c>
      <c r="L697" t="s">
        <v>213</v>
      </c>
      <c r="M697"/>
      <c r="N697"/>
      <c r="O697"/>
      <c r="P697"/>
      <c r="Q697" t="s">
        <v>634</v>
      </c>
      <c r="R697" t="s">
        <v>1474</v>
      </c>
      <c r="S697" t="s">
        <v>1486</v>
      </c>
      <c r="T697">
        <f>100/7</f>
        <v>14.285714285714286</v>
      </c>
      <c r="U697" s="2">
        <f>Table1[[#This Row],[Coal Power Plant Size (MW) or Share]]*0.593*9057*211.9*10^(-9)</f>
        <v>1.6258181884285714E-2</v>
      </c>
      <c r="V697" s="2">
        <f>Table1[[#This Row],[Annual Emissions (MMTCO2)]]*40</f>
        <v>0.65032727537142854</v>
      </c>
      <c r="W697"/>
      <c r="X697">
        <f>100/7</f>
        <v>14.285714285714286</v>
      </c>
      <c r="Y697"/>
      <c r="Z697" s="1"/>
      <c r="AA697" s="1"/>
    </row>
    <row r="698" spans="1:27" ht="27" hidden="1" customHeight="1">
      <c r="A698" t="s">
        <v>14</v>
      </c>
      <c r="B698" t="s">
        <v>24</v>
      </c>
      <c r="C698" t="s">
        <v>14</v>
      </c>
      <c r="D698" s="6">
        <v>55000000</v>
      </c>
      <c r="E698" t="s">
        <v>1973</v>
      </c>
      <c r="F698"/>
      <c r="G698"/>
      <c r="H698" t="s">
        <v>1675</v>
      </c>
      <c r="I698" t="s">
        <v>1956</v>
      </c>
      <c r="J698" s="28">
        <v>54789</v>
      </c>
      <c r="K698" t="s">
        <v>990</v>
      </c>
      <c r="L698" t="s">
        <v>288</v>
      </c>
      <c r="M698" t="s">
        <v>1972</v>
      </c>
      <c r="N698" t="s">
        <v>1971</v>
      </c>
      <c r="O698" t="s">
        <v>1970</v>
      </c>
      <c r="P698"/>
      <c r="Q698" t="s">
        <v>634</v>
      </c>
      <c r="R698" t="s">
        <v>635</v>
      </c>
      <c r="S698" t="s">
        <v>476</v>
      </c>
      <c r="T698">
        <f>290/2</f>
        <v>145</v>
      </c>
      <c r="U698" s="2">
        <f>Table1[[#This Row],[Coal Power Plant Size (MW) or Share]]*0.593*9057*211.9*10^(-9)</f>
        <v>0.16502054612550002</v>
      </c>
      <c r="V698" s="2">
        <f>Table1[[#This Row],[Annual Emissions (MMTCO2)]]*40</f>
        <v>6.6008218450200005</v>
      </c>
      <c r="W698"/>
      <c r="X698">
        <f>290/2</f>
        <v>145</v>
      </c>
      <c r="Y698"/>
      <c r="Z698" s="1"/>
      <c r="AA698" s="1"/>
    </row>
    <row r="699" spans="1:27" ht="27" hidden="1" customHeight="1">
      <c r="A699" t="s">
        <v>14</v>
      </c>
      <c r="B699" t="s">
        <v>561</v>
      </c>
      <c r="C699" t="s">
        <v>14</v>
      </c>
      <c r="D699" s="6">
        <v>70000000</v>
      </c>
      <c r="E699" t="s">
        <v>1973</v>
      </c>
      <c r="F699"/>
      <c r="G699"/>
      <c r="H699" t="s">
        <v>1675</v>
      </c>
      <c r="I699" t="s">
        <v>1956</v>
      </c>
      <c r="J699" s="28">
        <v>54789</v>
      </c>
      <c r="K699" t="s">
        <v>990</v>
      </c>
      <c r="L699" t="s">
        <v>288</v>
      </c>
      <c r="M699" t="s">
        <v>1972</v>
      </c>
      <c r="N699" t="s">
        <v>1971</v>
      </c>
      <c r="O699" t="s">
        <v>1970</v>
      </c>
      <c r="P699"/>
      <c r="Q699" t="s">
        <v>634</v>
      </c>
      <c r="R699" t="s">
        <v>635</v>
      </c>
      <c r="S699" t="s">
        <v>476</v>
      </c>
      <c r="T699">
        <f>290/2</f>
        <v>145</v>
      </c>
      <c r="U699" s="2">
        <f>Table1[[#This Row],[Coal Power Plant Size (MW) or Share]]*0.593*9057*211.9*10^(-9)</f>
        <v>0.16502054612550002</v>
      </c>
      <c r="V699" s="2">
        <f>Table1[[#This Row],[Annual Emissions (MMTCO2)]]*40</f>
        <v>6.6008218450200005</v>
      </c>
      <c r="W699"/>
      <c r="X699">
        <f>290/2</f>
        <v>145</v>
      </c>
      <c r="Y699"/>
      <c r="Z699" s="1"/>
      <c r="AA699" s="1"/>
    </row>
    <row r="700" spans="1:27" ht="27" hidden="1" customHeight="1">
      <c r="A700" t="s">
        <v>1723</v>
      </c>
      <c r="B700" t="s">
        <v>1726</v>
      </c>
      <c r="C700" t="s">
        <v>14</v>
      </c>
      <c r="D700" s="6">
        <v>22000000</v>
      </c>
      <c r="E700"/>
      <c r="F700"/>
      <c r="G700"/>
      <c r="H700" t="s">
        <v>1517</v>
      </c>
      <c r="I700" t="s">
        <v>1771</v>
      </c>
      <c r="J700" s="28">
        <v>41599</v>
      </c>
      <c r="K700" t="s">
        <v>990</v>
      </c>
      <c r="L700" t="s">
        <v>1503</v>
      </c>
      <c r="M700"/>
      <c r="N700"/>
      <c r="O700"/>
      <c r="P700"/>
      <c r="Q700" t="s">
        <v>634</v>
      </c>
      <c r="R700" t="s">
        <v>636</v>
      </c>
      <c r="S700" t="s">
        <v>703</v>
      </c>
      <c r="T700">
        <v>24</v>
      </c>
      <c r="U700" s="2">
        <f>Table1[[#This Row],[Coal Power Plant Size (MW) or Share]]*0.593*9057*211.9*10^(-9)</f>
        <v>2.7313745565599998E-2</v>
      </c>
      <c r="V700" s="2">
        <f>Table1[[#This Row],[Annual Emissions (MMTCO2)]]*40</f>
        <v>1.092549822624</v>
      </c>
      <c r="W700"/>
      <c r="X700">
        <v>24</v>
      </c>
      <c r="Y700"/>
      <c r="Z700" s="1"/>
      <c r="AA700" s="1"/>
    </row>
    <row r="701" spans="1:27" ht="27" hidden="1" customHeight="1">
      <c r="A701" t="s">
        <v>1723</v>
      </c>
      <c r="B701" t="s">
        <v>1724</v>
      </c>
      <c r="C701" t="s">
        <v>14</v>
      </c>
      <c r="D701" s="6">
        <v>20000000</v>
      </c>
      <c r="E701"/>
      <c r="F701"/>
      <c r="G701"/>
      <c r="H701" t="s">
        <v>1682</v>
      </c>
      <c r="I701" t="s">
        <v>1803</v>
      </c>
      <c r="J701" s="28">
        <v>41607</v>
      </c>
      <c r="K701" t="s">
        <v>993</v>
      </c>
      <c r="L701" t="s">
        <v>1478</v>
      </c>
      <c r="M701"/>
      <c r="N701"/>
      <c r="O701"/>
      <c r="P701"/>
      <c r="Q701" t="s">
        <v>634</v>
      </c>
      <c r="R701" t="s">
        <v>636</v>
      </c>
      <c r="S701" t="s">
        <v>703</v>
      </c>
      <c r="T701">
        <f>117/2</f>
        <v>58.5</v>
      </c>
      <c r="U701" s="2">
        <f>Table1[[#This Row],[Coal Power Plant Size (MW) or Share]]*0.593*9057*211.9*10^(-9)</f>
        <v>6.6577254816149997E-2</v>
      </c>
      <c r="V701" s="2">
        <f>Table1[[#This Row],[Annual Emissions (MMTCO2)]]*40</f>
        <v>2.663090192646</v>
      </c>
      <c r="W701"/>
      <c r="X701">
        <f>117/2</f>
        <v>58.5</v>
      </c>
      <c r="Y701"/>
      <c r="Z701" s="1"/>
      <c r="AA701" s="1"/>
    </row>
    <row r="702" spans="1:27" ht="27" hidden="1" customHeight="1">
      <c r="A702" t="s">
        <v>1723</v>
      </c>
      <c r="B702" t="s">
        <v>1590</v>
      </c>
      <c r="C702" t="s">
        <v>14</v>
      </c>
      <c r="D702" s="6">
        <v>11500000</v>
      </c>
      <c r="E702"/>
      <c r="F702"/>
      <c r="G702"/>
      <c r="H702" t="s">
        <v>1481</v>
      </c>
      <c r="I702" t="s">
        <v>1811</v>
      </c>
      <c r="J702" s="28">
        <v>41688</v>
      </c>
      <c r="K702" t="s">
        <v>1482</v>
      </c>
      <c r="L702" t="s">
        <v>1483</v>
      </c>
      <c r="M702"/>
      <c r="N702"/>
      <c r="O702"/>
      <c r="P702"/>
      <c r="Q702" t="s">
        <v>634</v>
      </c>
      <c r="R702" t="s">
        <v>635</v>
      </c>
      <c r="S702" t="s">
        <v>703</v>
      </c>
      <c r="T702">
        <f>8.5/3</f>
        <v>2.8333333333333335</v>
      </c>
      <c r="U702" s="2">
        <f>Table1[[#This Row],[Coal Power Plant Size (MW) or Share]]*0.593*9057*211.9*10^(-9)</f>
        <v>3.2245394070499998E-3</v>
      </c>
      <c r="V702" s="2">
        <f>Table1[[#This Row],[Annual Emissions (MMTCO2)]]*40</f>
        <v>0.12898157628199999</v>
      </c>
      <c r="W702"/>
      <c r="X702">
        <f>8.5/3</f>
        <v>2.8333333333333335</v>
      </c>
      <c r="Y702"/>
      <c r="Z702" s="1"/>
      <c r="AA702" s="1"/>
    </row>
    <row r="703" spans="1:27" ht="27" hidden="1" customHeight="1">
      <c r="A703" t="s">
        <v>1723</v>
      </c>
      <c r="B703" t="s">
        <v>1724</v>
      </c>
      <c r="C703" t="s">
        <v>14</v>
      </c>
      <c r="D703" s="6">
        <v>1500000</v>
      </c>
      <c r="E703"/>
      <c r="F703"/>
      <c r="G703"/>
      <c r="H703" t="s">
        <v>1666</v>
      </c>
      <c r="I703" t="s">
        <v>1828</v>
      </c>
      <c r="J703" s="28">
        <v>41913</v>
      </c>
      <c r="K703" t="s">
        <v>993</v>
      </c>
      <c r="L703" t="s">
        <v>1478</v>
      </c>
      <c r="M703"/>
      <c r="N703"/>
      <c r="O703"/>
      <c r="P703"/>
      <c r="Q703" t="s">
        <v>634</v>
      </c>
      <c r="R703" t="s">
        <v>635</v>
      </c>
      <c r="S703" t="s">
        <v>703</v>
      </c>
      <c r="T703">
        <f>10/3</f>
        <v>3.3333333333333335</v>
      </c>
      <c r="U703" s="2">
        <f>Table1[[#This Row],[Coal Power Plant Size (MW) or Share]]*0.593*9057*211.9*10^(-9)</f>
        <v>3.7935757729999999E-3</v>
      </c>
      <c r="V703" s="2">
        <f>Table1[[#This Row],[Annual Emissions (MMTCO2)]]*40</f>
        <v>0.15174303091999999</v>
      </c>
      <c r="W703"/>
      <c r="X703">
        <f>10/3</f>
        <v>3.3333333333333335</v>
      </c>
      <c r="Y703"/>
      <c r="Z703" s="1"/>
      <c r="AA703" s="1"/>
    </row>
    <row r="704" spans="1:27" ht="27" hidden="1" customHeight="1">
      <c r="A704" t="s">
        <v>1723</v>
      </c>
      <c r="B704" t="s">
        <v>1728</v>
      </c>
      <c r="C704" t="s">
        <v>14</v>
      </c>
      <c r="D704" s="6">
        <v>6200000</v>
      </c>
      <c r="E704"/>
      <c r="F704"/>
      <c r="G704"/>
      <c r="H704" t="s">
        <v>1581</v>
      </c>
      <c r="I704" t="s">
        <v>1765</v>
      </c>
      <c r="J704" s="28">
        <v>41982</v>
      </c>
      <c r="K704" t="s">
        <v>1482</v>
      </c>
      <c r="L704" t="s">
        <v>705</v>
      </c>
      <c r="M704"/>
      <c r="N704"/>
      <c r="O704"/>
      <c r="P704"/>
      <c r="Q704" t="s">
        <v>634</v>
      </c>
      <c r="R704" t="s">
        <v>636</v>
      </c>
      <c r="S704" t="s">
        <v>703</v>
      </c>
      <c r="T704">
        <f>300/5</f>
        <v>60</v>
      </c>
      <c r="U704" s="2">
        <f>Table1[[#This Row],[Coal Power Plant Size (MW) or Share]]*0.593*9057*211.9*10^(-9)</f>
        <v>6.8284363914000015E-2</v>
      </c>
      <c r="V704" s="2">
        <f>Table1[[#This Row],[Annual Emissions (MMTCO2)]]*40</f>
        <v>2.7313745565600005</v>
      </c>
      <c r="W704"/>
      <c r="X704">
        <f>300/5</f>
        <v>60</v>
      </c>
      <c r="Y704"/>
      <c r="Z704" s="1"/>
      <c r="AA704" s="1"/>
    </row>
    <row r="705" spans="1:27" ht="27" hidden="1" customHeight="1">
      <c r="A705" t="s">
        <v>1723</v>
      </c>
      <c r="B705" t="s">
        <v>1729</v>
      </c>
      <c r="C705" t="s">
        <v>14</v>
      </c>
      <c r="D705" s="6">
        <v>12410000</v>
      </c>
      <c r="E705"/>
      <c r="F705"/>
      <c r="G705"/>
      <c r="H705" t="s">
        <v>1581</v>
      </c>
      <c r="I705" t="s">
        <v>1765</v>
      </c>
      <c r="J705" s="28">
        <v>41982</v>
      </c>
      <c r="K705" t="s">
        <v>1482</v>
      </c>
      <c r="L705" t="s">
        <v>705</v>
      </c>
      <c r="M705"/>
      <c r="N705"/>
      <c r="O705"/>
      <c r="P705"/>
      <c r="Q705" t="s">
        <v>634</v>
      </c>
      <c r="R705" t="s">
        <v>636</v>
      </c>
      <c r="S705" t="s">
        <v>703</v>
      </c>
      <c r="T705">
        <f>300/5</f>
        <v>60</v>
      </c>
      <c r="U705" s="2">
        <f>Table1[[#This Row],[Coal Power Plant Size (MW) or Share]]*0.593*9057*211.9*10^(-9)</f>
        <v>6.8284363914000015E-2</v>
      </c>
      <c r="V705" s="2">
        <f>Table1[[#This Row],[Annual Emissions (MMTCO2)]]*40</f>
        <v>2.7313745565600005</v>
      </c>
      <c r="W705"/>
      <c r="X705">
        <f>300/5</f>
        <v>60</v>
      </c>
      <c r="Y705"/>
      <c r="Z705" s="1"/>
      <c r="AA705" s="1"/>
    </row>
    <row r="706" spans="1:27" ht="27" hidden="1" customHeight="1">
      <c r="A706" t="s">
        <v>1723</v>
      </c>
      <c r="B706" t="s">
        <v>1730</v>
      </c>
      <c r="C706" t="s">
        <v>14</v>
      </c>
      <c r="D706" s="6">
        <v>31030000</v>
      </c>
      <c r="E706"/>
      <c r="F706"/>
      <c r="G706"/>
      <c r="H706" t="s">
        <v>1581</v>
      </c>
      <c r="I706" t="s">
        <v>1765</v>
      </c>
      <c r="J706" s="28">
        <v>41982</v>
      </c>
      <c r="K706" t="s">
        <v>1482</v>
      </c>
      <c r="L706" t="s">
        <v>705</v>
      </c>
      <c r="M706"/>
      <c r="N706"/>
      <c r="O706"/>
      <c r="P706"/>
      <c r="Q706" t="s">
        <v>634</v>
      </c>
      <c r="R706" t="s">
        <v>636</v>
      </c>
      <c r="S706" t="s">
        <v>703</v>
      </c>
      <c r="T706">
        <f>300/5</f>
        <v>60</v>
      </c>
      <c r="U706" s="2">
        <f>Table1[[#This Row],[Coal Power Plant Size (MW) or Share]]*0.593*9057*211.9*10^(-9)</f>
        <v>6.8284363914000015E-2</v>
      </c>
      <c r="V706" s="2">
        <f>Table1[[#This Row],[Annual Emissions (MMTCO2)]]*40</f>
        <v>2.7313745565600005</v>
      </c>
      <c r="W706"/>
      <c r="X706">
        <f>300/5</f>
        <v>60</v>
      </c>
      <c r="Y706"/>
      <c r="Z706" s="1"/>
      <c r="AA706" s="1"/>
    </row>
    <row r="707" spans="1:27" ht="27" hidden="1" customHeight="1">
      <c r="A707" t="s">
        <v>1723</v>
      </c>
      <c r="B707" t="s">
        <v>1726</v>
      </c>
      <c r="C707" t="s">
        <v>14</v>
      </c>
      <c r="D707" s="6">
        <v>45000000</v>
      </c>
      <c r="E707"/>
      <c r="F707"/>
      <c r="G707"/>
      <c r="H707" t="s">
        <v>1632</v>
      </c>
      <c r="I707" t="s">
        <v>1843</v>
      </c>
      <c r="J707" s="28">
        <v>41989</v>
      </c>
      <c r="K707" t="s">
        <v>990</v>
      </c>
      <c r="L707" t="s">
        <v>1503</v>
      </c>
      <c r="M707"/>
      <c r="N707"/>
      <c r="O707"/>
      <c r="P707"/>
      <c r="Q707" t="s">
        <v>634</v>
      </c>
      <c r="R707" t="s">
        <v>635</v>
      </c>
      <c r="S707" t="s">
        <v>703</v>
      </c>
      <c r="T707">
        <f>81.7/2</f>
        <v>40.85</v>
      </c>
      <c r="U707" s="2">
        <f>Table1[[#This Row],[Coal Power Plant Size (MW) or Share]]*0.593*9057*211.9*10^(-9)</f>
        <v>4.6490271098115002E-2</v>
      </c>
      <c r="V707" s="2">
        <f>Table1[[#This Row],[Annual Emissions (MMTCO2)]]*40</f>
        <v>1.8596108439246</v>
      </c>
      <c r="W707"/>
      <c r="X707">
        <f>81.7/2</f>
        <v>40.85</v>
      </c>
      <c r="Y707"/>
      <c r="Z707" s="1"/>
      <c r="AA707" s="1"/>
    </row>
    <row r="708" spans="1:27" ht="27" hidden="1" customHeight="1">
      <c r="A708" t="s">
        <v>1723</v>
      </c>
      <c r="B708" t="s">
        <v>1724</v>
      </c>
      <c r="C708" t="s">
        <v>14</v>
      </c>
      <c r="D708" s="6">
        <v>15000000</v>
      </c>
      <c r="E708"/>
      <c r="F708"/>
      <c r="G708"/>
      <c r="H708" t="s">
        <v>1632</v>
      </c>
      <c r="I708" t="s">
        <v>1843</v>
      </c>
      <c r="J708" s="28">
        <v>41989</v>
      </c>
      <c r="K708" t="s">
        <v>990</v>
      </c>
      <c r="L708" t="s">
        <v>1503</v>
      </c>
      <c r="M708"/>
      <c r="N708"/>
      <c r="O708"/>
      <c r="P708"/>
      <c r="Q708" t="s">
        <v>634</v>
      </c>
      <c r="R708" t="s">
        <v>635</v>
      </c>
      <c r="S708" t="s">
        <v>703</v>
      </c>
      <c r="T708">
        <f>81.7/2</f>
        <v>40.85</v>
      </c>
      <c r="U708" s="2">
        <f>Table1[[#This Row],[Coal Power Plant Size (MW) or Share]]*0.593*9057*211.9*10^(-9)</f>
        <v>4.6490271098115002E-2</v>
      </c>
      <c r="V708" s="2">
        <f>Table1[[#This Row],[Annual Emissions (MMTCO2)]]*40</f>
        <v>1.8596108439246</v>
      </c>
      <c r="W708"/>
      <c r="X708">
        <f>81.7/2</f>
        <v>40.85</v>
      </c>
      <c r="Y708"/>
      <c r="Z708" s="1"/>
      <c r="AA708" s="1"/>
    </row>
    <row r="709" spans="1:27" ht="27" hidden="1" customHeight="1">
      <c r="A709" t="s">
        <v>1723</v>
      </c>
      <c r="B709" t="s">
        <v>1726</v>
      </c>
      <c r="C709" t="s">
        <v>14</v>
      </c>
      <c r="D709" s="6">
        <v>30000000</v>
      </c>
      <c r="E709"/>
      <c r="F709"/>
      <c r="G709"/>
      <c r="H709" t="s">
        <v>1637</v>
      </c>
      <c r="I709" t="s">
        <v>1802</v>
      </c>
      <c r="J709" s="28">
        <v>42002</v>
      </c>
      <c r="K709" t="s">
        <v>990</v>
      </c>
      <c r="L709" t="s">
        <v>1488</v>
      </c>
      <c r="M709"/>
      <c r="N709"/>
      <c r="O709"/>
      <c r="P709"/>
      <c r="Q709" t="s">
        <v>634</v>
      </c>
      <c r="R709" t="s">
        <v>636</v>
      </c>
      <c r="S709" t="s">
        <v>703</v>
      </c>
      <c r="T709">
        <f>215/4</f>
        <v>53.75</v>
      </c>
      <c r="U709" s="2">
        <f>Table1[[#This Row],[Coal Power Plant Size (MW) or Share]]*0.593*9057*211.9*10^(-9)</f>
        <v>6.1171409339624998E-2</v>
      </c>
      <c r="V709" s="2">
        <f>Table1[[#This Row],[Annual Emissions (MMTCO2)]]*40</f>
        <v>2.4468563735849997</v>
      </c>
      <c r="W709"/>
      <c r="X709">
        <f>215/4</f>
        <v>53.75</v>
      </c>
      <c r="Y709"/>
      <c r="Z709" s="1"/>
      <c r="AA709" s="1"/>
    </row>
    <row r="710" spans="1:27" ht="27" hidden="1" customHeight="1">
      <c r="A710" t="s">
        <v>1723</v>
      </c>
      <c r="B710" t="s">
        <v>1733</v>
      </c>
      <c r="C710" t="s">
        <v>14</v>
      </c>
      <c r="D710" s="6">
        <v>7500000</v>
      </c>
      <c r="E710"/>
      <c r="F710"/>
      <c r="G710"/>
      <c r="H710" t="s">
        <v>1610</v>
      </c>
      <c r="I710" t="s">
        <v>1869</v>
      </c>
      <c r="J710" s="28">
        <v>42002</v>
      </c>
      <c r="K710" t="s">
        <v>990</v>
      </c>
      <c r="L710" t="s">
        <v>1503</v>
      </c>
      <c r="M710"/>
      <c r="N710"/>
      <c r="O710"/>
      <c r="P710"/>
      <c r="Q710" t="s">
        <v>634</v>
      </c>
      <c r="R710" t="s">
        <v>635</v>
      </c>
      <c r="S710" t="s">
        <v>703</v>
      </c>
      <c r="T710">
        <f>25/4</f>
        <v>6.25</v>
      </c>
      <c r="U710" s="2">
        <f>Table1[[#This Row],[Coal Power Plant Size (MW) or Share]]*0.593*9057*211.9*10^(-9)</f>
        <v>7.1129545743750001E-3</v>
      </c>
      <c r="V710" s="2">
        <f>Table1[[#This Row],[Annual Emissions (MMTCO2)]]*40</f>
        <v>0.28451818297499998</v>
      </c>
      <c r="W710"/>
      <c r="X710">
        <f>25/4</f>
        <v>6.25</v>
      </c>
      <c r="Y710"/>
      <c r="Z710" s="1"/>
      <c r="AA710" s="1"/>
    </row>
    <row r="711" spans="1:27" ht="27" hidden="1" customHeight="1">
      <c r="A711" t="s">
        <v>1723</v>
      </c>
      <c r="B711" t="s">
        <v>1724</v>
      </c>
      <c r="C711" t="s">
        <v>14</v>
      </c>
      <c r="D711" s="6">
        <v>10000000</v>
      </c>
      <c r="E711"/>
      <c r="F711"/>
      <c r="G711"/>
      <c r="H711" t="s">
        <v>1610</v>
      </c>
      <c r="I711" t="s">
        <v>1869</v>
      </c>
      <c r="J711" s="28">
        <v>42002</v>
      </c>
      <c r="K711" t="s">
        <v>990</v>
      </c>
      <c r="L711" t="s">
        <v>1503</v>
      </c>
      <c r="M711"/>
      <c r="N711"/>
      <c r="O711"/>
      <c r="P711"/>
      <c r="Q711" t="s">
        <v>634</v>
      </c>
      <c r="R711" t="s">
        <v>635</v>
      </c>
      <c r="S711" t="s">
        <v>703</v>
      </c>
      <c r="T711">
        <f>25/4</f>
        <v>6.25</v>
      </c>
      <c r="U711" s="2">
        <f>Table1[[#This Row],[Coal Power Plant Size (MW) or Share]]*0.593*9057*211.9*10^(-9)</f>
        <v>7.1129545743750001E-3</v>
      </c>
      <c r="V711" s="2">
        <f>Table1[[#This Row],[Annual Emissions (MMTCO2)]]*40</f>
        <v>0.28451818297499998</v>
      </c>
      <c r="W711"/>
      <c r="X711">
        <f>25/4</f>
        <v>6.25</v>
      </c>
      <c r="Y711"/>
      <c r="Z711" s="1"/>
      <c r="AA711" s="1"/>
    </row>
    <row r="712" spans="1:27" ht="27" hidden="1" customHeight="1">
      <c r="A712" t="s">
        <v>1723</v>
      </c>
      <c r="B712" t="s">
        <v>1732</v>
      </c>
      <c r="C712" t="s">
        <v>14</v>
      </c>
      <c r="D712" s="6">
        <v>55000000</v>
      </c>
      <c r="E712"/>
      <c r="F712"/>
      <c r="G712"/>
      <c r="H712" t="s">
        <v>1704</v>
      </c>
      <c r="I712" t="s">
        <v>1822</v>
      </c>
      <c r="J712" s="28">
        <v>42103</v>
      </c>
      <c r="K712" t="s">
        <v>990</v>
      </c>
      <c r="L712" t="s">
        <v>288</v>
      </c>
      <c r="M712"/>
      <c r="N712"/>
      <c r="O712"/>
      <c r="P712"/>
      <c r="Q712" t="s">
        <v>634</v>
      </c>
      <c r="R712" t="s">
        <v>636</v>
      </c>
      <c r="S712" t="s">
        <v>703</v>
      </c>
      <c r="T712">
        <v>148.5</v>
      </c>
      <c r="U712" s="2">
        <f>Table1[[#This Row],[Coal Power Plant Size (MW) or Share]]*0.593*9057*211.9*10^(-9)</f>
        <v>0.16900380068715001</v>
      </c>
      <c r="V712" s="2">
        <f>Table1[[#This Row],[Annual Emissions (MMTCO2)]]*40</f>
        <v>6.7601520274860007</v>
      </c>
      <c r="W712"/>
      <c r="X712">
        <v>148.5</v>
      </c>
      <c r="Y712"/>
      <c r="Z712" s="1"/>
      <c r="AA712" s="1"/>
    </row>
    <row r="713" spans="1:27" ht="27" hidden="1" customHeight="1">
      <c r="A713" t="s">
        <v>1723</v>
      </c>
      <c r="B713" t="s">
        <v>1724</v>
      </c>
      <c r="C713" t="s">
        <v>14</v>
      </c>
      <c r="D713" s="6">
        <v>4000000</v>
      </c>
      <c r="E713"/>
      <c r="F713"/>
      <c r="G713"/>
      <c r="H713" t="s">
        <v>1539</v>
      </c>
      <c r="I713" t="s">
        <v>1829</v>
      </c>
      <c r="J713" s="28">
        <v>42144</v>
      </c>
      <c r="K713" t="s">
        <v>993</v>
      </c>
      <c r="L713" t="s">
        <v>1478</v>
      </c>
      <c r="M713"/>
      <c r="N713"/>
      <c r="O713"/>
      <c r="P713"/>
      <c r="Q713" t="s">
        <v>634</v>
      </c>
      <c r="R713" t="s">
        <v>635</v>
      </c>
      <c r="S713" t="s">
        <v>703</v>
      </c>
      <c r="T713">
        <f>21/3</f>
        <v>7</v>
      </c>
      <c r="U713" s="2">
        <f>Table1[[#This Row],[Coal Power Plant Size (MW) or Share]]*0.593*9057*211.9*10^(-9)</f>
        <v>7.9665091233000005E-3</v>
      </c>
      <c r="V713" s="2">
        <f>Table1[[#This Row],[Annual Emissions (MMTCO2)]]*40</f>
        <v>0.31866036493200001</v>
      </c>
      <c r="W713"/>
      <c r="X713">
        <f>21/3</f>
        <v>7</v>
      </c>
      <c r="Y713"/>
      <c r="Z713" s="1"/>
      <c r="AA713" s="1"/>
    </row>
    <row r="714" spans="1:27" ht="27" hidden="1" customHeight="1">
      <c r="A714" t="s">
        <v>1723</v>
      </c>
      <c r="B714" t="s">
        <v>1734</v>
      </c>
      <c r="C714" t="s">
        <v>14</v>
      </c>
      <c r="D714" s="6">
        <v>128100000</v>
      </c>
      <c r="E714"/>
      <c r="F714"/>
      <c r="G714"/>
      <c r="H714" t="s">
        <v>1617</v>
      </c>
      <c r="I714" t="s">
        <v>1800</v>
      </c>
      <c r="J714" s="28">
        <v>42145</v>
      </c>
      <c r="K714" t="s">
        <v>993</v>
      </c>
      <c r="L714" t="s">
        <v>166</v>
      </c>
      <c r="M714"/>
      <c r="N714"/>
      <c r="O714"/>
      <c r="P714"/>
      <c r="Q714" t="s">
        <v>634</v>
      </c>
      <c r="R714" t="s">
        <v>1474</v>
      </c>
      <c r="S714" t="s">
        <v>703</v>
      </c>
      <c r="T714">
        <v>200</v>
      </c>
      <c r="U714" s="2">
        <f>Table1[[#This Row],[Coal Power Plant Size (MW) or Share]]*0.593*9057*211.9*10^(-9)</f>
        <v>0.22761454638</v>
      </c>
      <c r="V714" s="2">
        <f>Table1[[#This Row],[Annual Emissions (MMTCO2)]]*40</f>
        <v>9.1045818551999993</v>
      </c>
      <c r="W714"/>
      <c r="X714">
        <v>200</v>
      </c>
      <c r="Y714"/>
      <c r="Z714" s="1"/>
      <c r="AA714" s="1"/>
    </row>
    <row r="715" spans="1:27" ht="27" hidden="1" customHeight="1">
      <c r="A715" t="s">
        <v>1723</v>
      </c>
      <c r="B715" t="s">
        <v>1734</v>
      </c>
      <c r="C715" t="s">
        <v>14</v>
      </c>
      <c r="D715" s="6">
        <v>88100000</v>
      </c>
      <c r="E715"/>
      <c r="F715"/>
      <c r="G715"/>
      <c r="H715" t="s">
        <v>1618</v>
      </c>
      <c r="I715" t="s">
        <v>1801</v>
      </c>
      <c r="J715" s="28">
        <v>42145</v>
      </c>
      <c r="K715" t="s">
        <v>993</v>
      </c>
      <c r="L715" t="s">
        <v>166</v>
      </c>
      <c r="M715"/>
      <c r="N715"/>
      <c r="O715"/>
      <c r="P715"/>
      <c r="Q715" t="s">
        <v>634</v>
      </c>
      <c r="R715" t="s">
        <v>1474</v>
      </c>
      <c r="S715" t="s">
        <v>703</v>
      </c>
      <c r="T715">
        <v>150</v>
      </c>
      <c r="U715" s="2">
        <f>Table1[[#This Row],[Coal Power Plant Size (MW) or Share]]*0.593*9057*211.9*10^(-9)</f>
        <v>0.170710909785</v>
      </c>
      <c r="V715" s="2">
        <f>Table1[[#This Row],[Annual Emissions (MMTCO2)]]*40</f>
        <v>6.8284363914000004</v>
      </c>
      <c r="W715"/>
      <c r="X715">
        <v>150</v>
      </c>
      <c r="Y715"/>
      <c r="Z715" s="1"/>
      <c r="AA715" s="1"/>
    </row>
    <row r="716" spans="1:27" ht="27" hidden="1" customHeight="1">
      <c r="A716" t="s">
        <v>1723</v>
      </c>
      <c r="B716" t="s">
        <v>1724</v>
      </c>
      <c r="C716" t="s">
        <v>14</v>
      </c>
      <c r="D716" s="6">
        <v>7200000</v>
      </c>
      <c r="E716"/>
      <c r="F716"/>
      <c r="G716"/>
      <c r="H716" t="s">
        <v>1477</v>
      </c>
      <c r="I716" t="s">
        <v>1831</v>
      </c>
      <c r="J716" s="28">
        <v>42145</v>
      </c>
      <c r="K716" t="s">
        <v>993</v>
      </c>
      <c r="L716" t="s">
        <v>1478</v>
      </c>
      <c r="M716"/>
      <c r="N716"/>
      <c r="O716"/>
      <c r="P716"/>
      <c r="Q716" t="s">
        <v>634</v>
      </c>
      <c r="R716" t="s">
        <v>635</v>
      </c>
      <c r="S716" t="s">
        <v>703</v>
      </c>
      <c r="T716">
        <f>30/3</f>
        <v>10</v>
      </c>
      <c r="U716" s="2">
        <f>Table1[[#This Row],[Coal Power Plant Size (MW) or Share]]*0.593*9057*211.9*10^(-9)</f>
        <v>1.1380727318999998E-2</v>
      </c>
      <c r="V716" s="2">
        <f>Table1[[#This Row],[Annual Emissions (MMTCO2)]]*40</f>
        <v>0.45522909275999995</v>
      </c>
      <c r="W716"/>
      <c r="X716">
        <f>30/3</f>
        <v>10</v>
      </c>
      <c r="Y716"/>
      <c r="Z716" s="1"/>
      <c r="AA716" s="1"/>
    </row>
    <row r="717" spans="1:27" ht="27" hidden="1" customHeight="1">
      <c r="A717" t="s">
        <v>1723</v>
      </c>
      <c r="B717" t="s">
        <v>1724</v>
      </c>
      <c r="C717" t="s">
        <v>14</v>
      </c>
      <c r="D717" s="6">
        <v>8700000</v>
      </c>
      <c r="E717"/>
      <c r="F717"/>
      <c r="G717"/>
      <c r="H717" t="s">
        <v>1565</v>
      </c>
      <c r="I717" t="s">
        <v>1834</v>
      </c>
      <c r="J717" s="28">
        <v>42145</v>
      </c>
      <c r="K717" t="s">
        <v>993</v>
      </c>
      <c r="L717" t="s">
        <v>1478</v>
      </c>
      <c r="M717"/>
      <c r="N717"/>
      <c r="O717"/>
      <c r="P717"/>
      <c r="Q717" t="s">
        <v>634</v>
      </c>
      <c r="R717" t="s">
        <v>635</v>
      </c>
      <c r="S717" t="s">
        <v>703</v>
      </c>
      <c r="T717">
        <f>20/3</f>
        <v>6.666666666666667</v>
      </c>
      <c r="U717" s="2">
        <f>Table1[[#This Row],[Coal Power Plant Size (MW) or Share]]*0.593*9057*211.9*10^(-9)</f>
        <v>7.5871515459999999E-3</v>
      </c>
      <c r="V717" s="2">
        <f>Table1[[#This Row],[Annual Emissions (MMTCO2)]]*40</f>
        <v>0.30348606183999999</v>
      </c>
      <c r="W717"/>
      <c r="X717">
        <f>20/3</f>
        <v>6.666666666666667</v>
      </c>
      <c r="Y717"/>
      <c r="Z717" s="1"/>
      <c r="AA717" s="1"/>
    </row>
    <row r="718" spans="1:27" ht="27" hidden="1" customHeight="1">
      <c r="A718" t="s">
        <v>1723</v>
      </c>
      <c r="B718" t="s">
        <v>1732</v>
      </c>
      <c r="C718" t="s">
        <v>14</v>
      </c>
      <c r="D718" s="6">
        <v>15500000</v>
      </c>
      <c r="E718"/>
      <c r="F718"/>
      <c r="G718"/>
      <c r="H718" t="s">
        <v>1585</v>
      </c>
      <c r="I718" t="s">
        <v>1878</v>
      </c>
      <c r="J718" s="28">
        <v>42242</v>
      </c>
      <c r="K718" t="s">
        <v>990</v>
      </c>
      <c r="L718" t="s">
        <v>288</v>
      </c>
      <c r="M718"/>
      <c r="N718"/>
      <c r="O718"/>
      <c r="P718"/>
      <c r="Q718" t="s">
        <v>634</v>
      </c>
      <c r="R718" t="s">
        <v>635</v>
      </c>
      <c r="S718" t="s">
        <v>703</v>
      </c>
      <c r="T718">
        <v>14</v>
      </c>
      <c r="U718" s="2">
        <f>Table1[[#This Row],[Coal Power Plant Size (MW) or Share]]*0.593*9057*211.9*10^(-9)</f>
        <v>1.5933018246600001E-2</v>
      </c>
      <c r="V718" s="2">
        <f>Table1[[#This Row],[Annual Emissions (MMTCO2)]]*40</f>
        <v>0.63732072986400001</v>
      </c>
      <c r="W718"/>
      <c r="X718">
        <v>14</v>
      </c>
      <c r="Y718"/>
      <c r="Z718" s="1"/>
      <c r="AA718" s="1"/>
    </row>
    <row r="719" spans="1:27" ht="27" hidden="1" customHeight="1">
      <c r="A719" t="s">
        <v>1723</v>
      </c>
      <c r="B719" t="s">
        <v>1731</v>
      </c>
      <c r="C719" t="s">
        <v>14</v>
      </c>
      <c r="D719" s="6">
        <v>6700000</v>
      </c>
      <c r="E719"/>
      <c r="F719"/>
      <c r="G719"/>
      <c r="H719" t="s">
        <v>1583</v>
      </c>
      <c r="I719" t="s">
        <v>1895</v>
      </c>
      <c r="J719" s="28">
        <v>42545</v>
      </c>
      <c r="K719" t="s">
        <v>990</v>
      </c>
      <c r="L719" t="s">
        <v>20</v>
      </c>
      <c r="M719"/>
      <c r="N719"/>
      <c r="O719"/>
      <c r="P719"/>
      <c r="Q719" t="s">
        <v>634</v>
      </c>
      <c r="R719" t="s">
        <v>635</v>
      </c>
      <c r="S719" t="s">
        <v>703</v>
      </c>
      <c r="T719">
        <f>54/2</f>
        <v>27</v>
      </c>
      <c r="U719" s="2">
        <f>Table1[[#This Row],[Coal Power Plant Size (MW) or Share]]*0.593*9057*211.9*10^(-9)</f>
        <v>3.0727963761299999E-2</v>
      </c>
      <c r="V719" s="2">
        <f>Table1[[#This Row],[Annual Emissions (MMTCO2)]]*40</f>
        <v>1.2291185504519999</v>
      </c>
      <c r="W719"/>
      <c r="X719">
        <f>54/2</f>
        <v>27</v>
      </c>
      <c r="Y719"/>
      <c r="Z719" s="1"/>
      <c r="AA719" s="1"/>
    </row>
    <row r="720" spans="1:27" ht="27" hidden="1" customHeight="1">
      <c r="A720" t="s">
        <v>1723</v>
      </c>
      <c r="B720" t="s">
        <v>1735</v>
      </c>
      <c r="C720" t="s">
        <v>14</v>
      </c>
      <c r="D720" s="6">
        <v>57700000</v>
      </c>
      <c r="E720"/>
      <c r="F720"/>
      <c r="G720"/>
      <c r="H720" t="s">
        <v>1647</v>
      </c>
      <c r="I720" t="s">
        <v>1901</v>
      </c>
      <c r="J720" s="28">
        <v>42695</v>
      </c>
      <c r="K720" t="s">
        <v>990</v>
      </c>
      <c r="L720" t="s">
        <v>1648</v>
      </c>
      <c r="M720"/>
      <c r="N720"/>
      <c r="O720"/>
      <c r="P720"/>
      <c r="Q720" t="s">
        <v>634</v>
      </c>
      <c r="R720" t="s">
        <v>635</v>
      </c>
      <c r="S720" t="s">
        <v>703</v>
      </c>
      <c r="T720">
        <f>100/2</f>
        <v>50</v>
      </c>
      <c r="U720" s="2">
        <f>Table1[[#This Row],[Coal Power Plant Size (MW) or Share]]*0.593*9057*211.9*10^(-9)</f>
        <v>5.6903636595000001E-2</v>
      </c>
      <c r="V720" s="2">
        <f>Table1[[#This Row],[Annual Emissions (MMTCO2)]]*40</f>
        <v>2.2761454637999998</v>
      </c>
      <c r="W720"/>
      <c r="X720">
        <f>100/2</f>
        <v>50</v>
      </c>
      <c r="Y720"/>
      <c r="Z720" s="1"/>
      <c r="AA720" s="1"/>
    </row>
    <row r="721" spans="1:27" ht="27" hidden="1" customHeight="1">
      <c r="A721" t="s">
        <v>1723</v>
      </c>
      <c r="B721" t="s">
        <v>1731</v>
      </c>
      <c r="C721" t="s">
        <v>14</v>
      </c>
      <c r="D721" s="6">
        <v>19300000</v>
      </c>
      <c r="E721"/>
      <c r="F721"/>
      <c r="G721"/>
      <c r="H721" t="s">
        <v>1674</v>
      </c>
      <c r="I721" t="s">
        <v>1889</v>
      </c>
      <c r="J721" s="28">
        <v>42696</v>
      </c>
      <c r="K721" t="s">
        <v>990</v>
      </c>
      <c r="L721" t="s">
        <v>1466</v>
      </c>
      <c r="M721"/>
      <c r="N721"/>
      <c r="O721"/>
      <c r="P721"/>
      <c r="Q721" t="s">
        <v>634</v>
      </c>
      <c r="R721" t="s">
        <v>635</v>
      </c>
      <c r="S721" t="s">
        <v>703</v>
      </c>
      <c r="T721">
        <v>69.900000000000006</v>
      </c>
      <c r="U721" s="2">
        <f>Table1[[#This Row],[Coal Power Plant Size (MW) or Share]]*0.593*9057*211.9*10^(-9)</f>
        <v>7.9551283959810024E-2</v>
      </c>
      <c r="V721" s="2">
        <f>Table1[[#This Row],[Annual Emissions (MMTCO2)]]*40</f>
        <v>3.1820513583924011</v>
      </c>
      <c r="W721"/>
      <c r="X721">
        <v>69.900000000000006</v>
      </c>
      <c r="Y721"/>
      <c r="Z721" s="1"/>
      <c r="AA721" s="1"/>
    </row>
    <row r="722" spans="1:27" ht="27" hidden="1" customHeight="1">
      <c r="A722" t="s">
        <v>1723</v>
      </c>
      <c r="B722" t="s">
        <v>1727</v>
      </c>
      <c r="C722" t="s">
        <v>14</v>
      </c>
      <c r="D722" s="6">
        <v>110000000</v>
      </c>
      <c r="E722"/>
      <c r="F722"/>
      <c r="G722"/>
      <c r="H722" t="s">
        <v>1551</v>
      </c>
      <c r="I722" t="s">
        <v>1883</v>
      </c>
      <c r="J722" s="28">
        <v>42898</v>
      </c>
      <c r="K722" t="s">
        <v>993</v>
      </c>
      <c r="L722" t="s">
        <v>1552</v>
      </c>
      <c r="M722" t="s">
        <v>2002</v>
      </c>
      <c r="N722"/>
      <c r="O722" t="s">
        <v>2003</v>
      </c>
      <c r="P722"/>
      <c r="Q722" t="s">
        <v>634</v>
      </c>
      <c r="R722" t="s">
        <v>635</v>
      </c>
      <c r="S722" t="s">
        <v>476</v>
      </c>
      <c r="T722">
        <v>800</v>
      </c>
      <c r="U722" s="2">
        <f>Table1[[#This Row],[Coal Power Plant Size (MW) or Share]]*0.593*9057*211.9*10^(-9)</f>
        <v>0.91045818552000002</v>
      </c>
      <c r="V722" s="2">
        <f>Table1[[#This Row],[Annual Emissions (MMTCO2)]]*40</f>
        <v>36.418327420799997</v>
      </c>
      <c r="W722"/>
      <c r="X722">
        <v>800</v>
      </c>
      <c r="Y722"/>
      <c r="Z722" s="1"/>
      <c r="AA722" s="1"/>
    </row>
    <row r="723" spans="1:27" ht="27" hidden="1" customHeight="1">
      <c r="A723" t="s">
        <v>1723</v>
      </c>
      <c r="B723" t="s">
        <v>1590</v>
      </c>
      <c r="C723" t="s">
        <v>14</v>
      </c>
      <c r="D723" s="6">
        <v>7330000</v>
      </c>
      <c r="E723"/>
      <c r="F723"/>
      <c r="G723"/>
      <c r="H723" t="s">
        <v>1702</v>
      </c>
      <c r="I723" t="s">
        <v>1865</v>
      </c>
      <c r="J723" s="28">
        <v>54789</v>
      </c>
      <c r="K723" t="s">
        <v>1482</v>
      </c>
      <c r="L723" t="s">
        <v>1589</v>
      </c>
      <c r="M723"/>
      <c r="N723"/>
      <c r="O723"/>
      <c r="P723"/>
      <c r="Q723" t="s">
        <v>634</v>
      </c>
      <c r="R723" t="s">
        <v>635</v>
      </c>
      <c r="S723" t="s">
        <v>476</v>
      </c>
      <c r="T723">
        <f>10/2</f>
        <v>5</v>
      </c>
      <c r="U723" s="2">
        <f>Table1[[#This Row],[Coal Power Plant Size (MW) or Share]]*0.593*9057*211.9*10^(-9)</f>
        <v>5.6903636594999992E-3</v>
      </c>
      <c r="V723" s="2">
        <f>Table1[[#This Row],[Annual Emissions (MMTCO2)]]*40</f>
        <v>0.22761454637999998</v>
      </c>
      <c r="W723"/>
      <c r="X723">
        <f>10/2</f>
        <v>5</v>
      </c>
      <c r="Y723"/>
      <c r="Z723" s="1"/>
      <c r="AA723" s="1"/>
    </row>
    <row r="724" spans="1:27" ht="27" hidden="1" customHeight="1">
      <c r="A724" t="s">
        <v>1723</v>
      </c>
      <c r="B724" t="s">
        <v>1734</v>
      </c>
      <c r="C724" t="s">
        <v>14</v>
      </c>
      <c r="D724" s="6">
        <v>16200000</v>
      </c>
      <c r="E724"/>
      <c r="F724"/>
      <c r="G724"/>
      <c r="H724" t="s">
        <v>1631</v>
      </c>
      <c r="I724" t="s">
        <v>1815</v>
      </c>
      <c r="J724" s="28">
        <v>54789</v>
      </c>
      <c r="K724" t="s">
        <v>993</v>
      </c>
      <c r="L724" t="s">
        <v>166</v>
      </c>
      <c r="M724"/>
      <c r="N724"/>
      <c r="O724"/>
      <c r="P724"/>
      <c r="Q724" t="s">
        <v>634</v>
      </c>
      <c r="R724" t="s">
        <v>636</v>
      </c>
      <c r="S724" t="s">
        <v>476</v>
      </c>
      <c r="T724">
        <v>850</v>
      </c>
      <c r="U724" s="2">
        <f>Table1[[#This Row],[Coal Power Plant Size (MW) or Share]]*0.593*9057*211.9*10^(-9)</f>
        <v>0.96736182211499999</v>
      </c>
      <c r="V724" s="2">
        <f>Table1[[#This Row],[Annual Emissions (MMTCO2)]]*40</f>
        <v>38.694472884600003</v>
      </c>
      <c r="W724"/>
      <c r="X724">
        <v>850</v>
      </c>
      <c r="Y724"/>
      <c r="Z724" s="1"/>
      <c r="AA724" s="1"/>
    </row>
    <row r="725" spans="1:27" ht="27" hidden="1" customHeight="1">
      <c r="A725" t="s">
        <v>1723</v>
      </c>
      <c r="B725" t="s">
        <v>1724</v>
      </c>
      <c r="C725" t="s">
        <v>14</v>
      </c>
      <c r="D725" s="6">
        <v>17800000</v>
      </c>
      <c r="E725"/>
      <c r="F725"/>
      <c r="G725"/>
      <c r="H725" t="s">
        <v>1587</v>
      </c>
      <c r="I725" t="s">
        <v>1858</v>
      </c>
      <c r="J725" s="28">
        <v>54789</v>
      </c>
      <c r="K725" t="s">
        <v>989</v>
      </c>
      <c r="L725" t="s">
        <v>1567</v>
      </c>
      <c r="M725"/>
      <c r="N725"/>
      <c r="O725"/>
      <c r="P725"/>
      <c r="Q725" t="s">
        <v>634</v>
      </c>
      <c r="R725" t="s">
        <v>640</v>
      </c>
      <c r="S725" t="s">
        <v>476</v>
      </c>
      <c r="T725">
        <f>82/3</f>
        <v>27.333333333333332</v>
      </c>
      <c r="U725" s="2">
        <f>Table1[[#This Row],[Coal Power Plant Size (MW) or Share]]*0.593*9057*211.9*10^(-9)</f>
        <v>3.1107321338600002E-2</v>
      </c>
      <c r="V725" s="2">
        <f>Table1[[#This Row],[Annual Emissions (MMTCO2)]]*40</f>
        <v>1.2442928535440001</v>
      </c>
      <c r="W725"/>
      <c r="X725">
        <f>82/3</f>
        <v>27.333333333333332</v>
      </c>
      <c r="Y725"/>
      <c r="Z725" s="1"/>
      <c r="AA725" s="1"/>
    </row>
    <row r="726" spans="1:27" ht="27" hidden="1" customHeight="1">
      <c r="A726" t="s">
        <v>1723</v>
      </c>
      <c r="B726" t="s">
        <v>1731</v>
      </c>
      <c r="C726" t="s">
        <v>14</v>
      </c>
      <c r="D726" s="6">
        <v>50000000</v>
      </c>
      <c r="E726" t="s">
        <v>1973</v>
      </c>
      <c r="F726"/>
      <c r="G726"/>
      <c r="H726" t="s">
        <v>1675</v>
      </c>
      <c r="I726" t="s">
        <v>1956</v>
      </c>
      <c r="J726" s="28">
        <v>54789</v>
      </c>
      <c r="K726" t="s">
        <v>990</v>
      </c>
      <c r="L726" t="s">
        <v>288</v>
      </c>
      <c r="M726" t="s">
        <v>1972</v>
      </c>
      <c r="N726" t="s">
        <v>1971</v>
      </c>
      <c r="O726" t="s">
        <v>1970</v>
      </c>
      <c r="P726"/>
      <c r="Q726" t="s">
        <v>634</v>
      </c>
      <c r="R726" t="s">
        <v>635</v>
      </c>
      <c r="S726" t="s">
        <v>476</v>
      </c>
      <c r="T726">
        <f>290/2</f>
        <v>145</v>
      </c>
      <c r="U726" s="2">
        <f>Table1[[#This Row],[Coal Power Plant Size (MW) or Share]]*0.593*9057*211.9*10^(-9)</f>
        <v>0.16502054612550002</v>
      </c>
      <c r="V726" s="2">
        <f>Table1[[#This Row],[Annual Emissions (MMTCO2)]]*40</f>
        <v>6.6008218450200005</v>
      </c>
      <c r="W726"/>
      <c r="X726">
        <f>290/2</f>
        <v>145</v>
      </c>
      <c r="Y726"/>
      <c r="Z726" s="1"/>
      <c r="AA726" s="1"/>
    </row>
    <row r="727" spans="1:27" ht="27" hidden="1" customHeight="1">
      <c r="A727" t="s">
        <v>1723</v>
      </c>
      <c r="B727" t="s">
        <v>1735</v>
      </c>
      <c r="C727" t="s">
        <v>14</v>
      </c>
      <c r="D727" s="6">
        <v>55000000</v>
      </c>
      <c r="E727" t="s">
        <v>1973</v>
      </c>
      <c r="F727"/>
      <c r="G727"/>
      <c r="H727" t="s">
        <v>1675</v>
      </c>
      <c r="I727" t="s">
        <v>1956</v>
      </c>
      <c r="J727" s="28">
        <v>54789</v>
      </c>
      <c r="K727" t="s">
        <v>990</v>
      </c>
      <c r="L727" t="s">
        <v>288</v>
      </c>
      <c r="M727" t="s">
        <v>1972</v>
      </c>
      <c r="N727" t="s">
        <v>1971</v>
      </c>
      <c r="O727" t="s">
        <v>1970</v>
      </c>
      <c r="P727"/>
      <c r="Q727" t="s">
        <v>634</v>
      </c>
      <c r="R727" t="s">
        <v>635</v>
      </c>
      <c r="S727" t="s">
        <v>476</v>
      </c>
      <c r="T727">
        <f>290/2</f>
        <v>145</v>
      </c>
      <c r="U727" s="2">
        <f>Table1[[#This Row],[Coal Power Plant Size (MW) or Share]]*0.593*9057*211.9*10^(-9)</f>
        <v>0.16502054612550002</v>
      </c>
      <c r="V727" s="2">
        <f>Table1[[#This Row],[Annual Emissions (MMTCO2)]]*40</f>
        <v>6.6008218450200005</v>
      </c>
      <c r="W727"/>
      <c r="X727">
        <f>290/2</f>
        <v>145</v>
      </c>
      <c r="Y727"/>
      <c r="Z727" s="1"/>
      <c r="AA727" s="1"/>
    </row>
    <row r="728" spans="1:27" ht="27" hidden="1" customHeight="1">
      <c r="A728" t="s">
        <v>649</v>
      </c>
      <c r="B728" t="s">
        <v>565</v>
      </c>
      <c r="C728" t="s">
        <v>126</v>
      </c>
      <c r="D728" s="6">
        <v>16670000.000000002</v>
      </c>
      <c r="E728"/>
      <c r="F728"/>
      <c r="G728"/>
      <c r="H728" t="s">
        <v>1641</v>
      </c>
      <c r="I728" t="s">
        <v>1775</v>
      </c>
      <c r="J728" s="28">
        <v>41344</v>
      </c>
      <c r="K728" t="s">
        <v>990</v>
      </c>
      <c r="L728" t="s">
        <v>1466</v>
      </c>
      <c r="M728"/>
      <c r="N728"/>
      <c r="O728"/>
      <c r="P728"/>
      <c r="Q728" t="s">
        <v>634</v>
      </c>
      <c r="R728" t="s">
        <v>636</v>
      </c>
      <c r="S728" t="s">
        <v>703</v>
      </c>
      <c r="T728">
        <f>50/3</f>
        <v>16.666666666666668</v>
      </c>
      <c r="U728" s="2">
        <f>Table1[[#This Row],[Coal Power Plant Size (MW) or Share]]*0.593*9057*211.9*10^(-9)</f>
        <v>1.8967878864999999E-2</v>
      </c>
      <c r="V728" s="2">
        <f>Table1[[#This Row],[Annual Emissions (MMTCO2)]]*40</f>
        <v>0.75871515459999994</v>
      </c>
      <c r="W728"/>
      <c r="X728">
        <f>50/3</f>
        <v>16.666666666666668</v>
      </c>
      <c r="Y728"/>
      <c r="Z728" s="1"/>
      <c r="AA728" s="1"/>
    </row>
    <row r="729" spans="1:27" ht="27" hidden="1" customHeight="1">
      <c r="A729" t="s">
        <v>649</v>
      </c>
      <c r="B729" t="s">
        <v>565</v>
      </c>
      <c r="C729" t="s">
        <v>126</v>
      </c>
      <c r="D729" s="6">
        <v>24000000</v>
      </c>
      <c r="E729" t="s">
        <v>586</v>
      </c>
      <c r="F729"/>
      <c r="G729"/>
      <c r="H729" t="s">
        <v>621</v>
      </c>
      <c r="I729" t="s">
        <v>691</v>
      </c>
      <c r="J729" s="28">
        <v>41520</v>
      </c>
      <c r="K729" t="s">
        <v>989</v>
      </c>
      <c r="L729" t="s">
        <v>26</v>
      </c>
      <c r="M729" t="s">
        <v>644</v>
      </c>
      <c r="N729"/>
      <c r="O729"/>
      <c r="P729"/>
      <c r="Q729" t="s">
        <v>634</v>
      </c>
      <c r="R729" t="s">
        <v>636</v>
      </c>
      <c r="S729" t="s">
        <v>646</v>
      </c>
      <c r="T729">
        <v>49.5</v>
      </c>
      <c r="U729" s="2">
        <f>Table1[[#This Row],[Coal Power Plant Size (MW) or Share]]*0.593*9057*211.9*10^(-9)</f>
        <v>5.6334600229050007E-2</v>
      </c>
      <c r="V729" s="2">
        <f>Table1[[#This Row],[Annual Emissions (MMTCO2)]]*40</f>
        <v>2.2533840091620001</v>
      </c>
      <c r="W729"/>
      <c r="X729">
        <v>49.5</v>
      </c>
      <c r="Y729"/>
      <c r="Z729" s="1"/>
      <c r="AA729" s="1"/>
    </row>
    <row r="730" spans="1:27" ht="27" hidden="1" customHeight="1">
      <c r="A730" t="s">
        <v>649</v>
      </c>
      <c r="B730" t="s">
        <v>565</v>
      </c>
      <c r="C730" t="s">
        <v>126</v>
      </c>
      <c r="D730" s="6">
        <v>28720000</v>
      </c>
      <c r="E730"/>
      <c r="F730"/>
      <c r="G730"/>
      <c r="H730" t="s">
        <v>1682</v>
      </c>
      <c r="I730" t="s">
        <v>1803</v>
      </c>
      <c r="J730" s="28">
        <v>41607</v>
      </c>
      <c r="K730" t="s">
        <v>993</v>
      </c>
      <c r="L730" t="s">
        <v>1478</v>
      </c>
      <c r="M730"/>
      <c r="N730"/>
      <c r="O730"/>
      <c r="P730"/>
      <c r="Q730" t="s">
        <v>634</v>
      </c>
      <c r="R730" t="s">
        <v>636</v>
      </c>
      <c r="S730" t="s">
        <v>703</v>
      </c>
      <c r="T730">
        <f>117/2</f>
        <v>58.5</v>
      </c>
      <c r="U730" s="2">
        <f>Table1[[#This Row],[Coal Power Plant Size (MW) or Share]]*0.593*9057*211.9*10^(-9)</f>
        <v>6.6577254816149997E-2</v>
      </c>
      <c r="V730" s="2">
        <f>Table1[[#This Row],[Annual Emissions (MMTCO2)]]*40</f>
        <v>2.663090192646</v>
      </c>
      <c r="W730"/>
      <c r="X730">
        <f>117/2</f>
        <v>58.5</v>
      </c>
      <c r="Y730"/>
      <c r="Z730" s="1"/>
      <c r="AA730" s="1"/>
    </row>
    <row r="731" spans="1:27" ht="27" hidden="1" customHeight="1">
      <c r="A731" t="s">
        <v>649</v>
      </c>
      <c r="B731" t="s">
        <v>565</v>
      </c>
      <c r="C731" t="s">
        <v>126</v>
      </c>
      <c r="D731" s="6">
        <v>24000000</v>
      </c>
      <c r="E731"/>
      <c r="F731"/>
      <c r="G731"/>
      <c r="H731" t="s">
        <v>1470</v>
      </c>
      <c r="I731" t="s">
        <v>1772</v>
      </c>
      <c r="J731" s="28">
        <v>41619</v>
      </c>
      <c r="K731" t="s">
        <v>990</v>
      </c>
      <c r="L731" t="s">
        <v>1471</v>
      </c>
      <c r="M731"/>
      <c r="N731"/>
      <c r="O731"/>
      <c r="P731"/>
      <c r="Q731" t="s">
        <v>634</v>
      </c>
      <c r="R731" t="s">
        <v>636</v>
      </c>
      <c r="S731" t="s">
        <v>703</v>
      </c>
      <c r="T731">
        <v>50</v>
      </c>
      <c r="U731" s="2">
        <f>Table1[[#This Row],[Coal Power Plant Size (MW) or Share]]*0.593*9057*211.9*10^(-9)</f>
        <v>5.6903636595000001E-2</v>
      </c>
      <c r="V731" s="2">
        <f>Table1[[#This Row],[Annual Emissions (MMTCO2)]]*40</f>
        <v>2.2761454637999998</v>
      </c>
      <c r="W731"/>
      <c r="X731">
        <v>50</v>
      </c>
      <c r="Y731"/>
      <c r="Z731" s="1"/>
      <c r="AA731" s="1"/>
    </row>
    <row r="732" spans="1:27" ht="27" hidden="1" customHeight="1">
      <c r="A732" t="s">
        <v>649</v>
      </c>
      <c r="B732" t="s">
        <v>565</v>
      </c>
      <c r="C732" t="s">
        <v>126</v>
      </c>
      <c r="D732" s="6">
        <v>11500000</v>
      </c>
      <c r="E732"/>
      <c r="F732"/>
      <c r="G732"/>
      <c r="H732" t="s">
        <v>1481</v>
      </c>
      <c r="I732" t="s">
        <v>1811</v>
      </c>
      <c r="J732" s="28">
        <v>41688</v>
      </c>
      <c r="K732" t="s">
        <v>1482</v>
      </c>
      <c r="L732" t="s">
        <v>1483</v>
      </c>
      <c r="M732"/>
      <c r="N732"/>
      <c r="O732"/>
      <c r="P732"/>
      <c r="Q732" t="s">
        <v>634</v>
      </c>
      <c r="R732" t="s">
        <v>635</v>
      </c>
      <c r="S732" t="s">
        <v>703</v>
      </c>
      <c r="T732">
        <f>8.5/3</f>
        <v>2.8333333333333335</v>
      </c>
      <c r="U732" s="2">
        <f>Table1[[#This Row],[Coal Power Plant Size (MW) or Share]]*0.593*9057*211.9*10^(-9)</f>
        <v>3.2245394070499998E-3</v>
      </c>
      <c r="V732" s="2">
        <f>Table1[[#This Row],[Annual Emissions (MMTCO2)]]*40</f>
        <v>0.12898157628199999</v>
      </c>
      <c r="W732"/>
      <c r="X732">
        <f>8.5/3</f>
        <v>2.8333333333333335</v>
      </c>
      <c r="Y732"/>
      <c r="Z732" s="1"/>
      <c r="AA732" s="1"/>
    </row>
    <row r="733" spans="1:27" ht="27" hidden="1" customHeight="1">
      <c r="A733" t="s">
        <v>649</v>
      </c>
      <c r="B733" t="s">
        <v>565</v>
      </c>
      <c r="C733" t="s">
        <v>126</v>
      </c>
      <c r="D733" s="6">
        <v>1500000</v>
      </c>
      <c r="E733"/>
      <c r="F733"/>
      <c r="G733"/>
      <c r="H733" t="s">
        <v>1666</v>
      </c>
      <c r="I733" t="s">
        <v>1828</v>
      </c>
      <c r="J733" s="28">
        <v>41913</v>
      </c>
      <c r="K733" t="s">
        <v>993</v>
      </c>
      <c r="L733" t="s">
        <v>1478</v>
      </c>
      <c r="M733"/>
      <c r="N733"/>
      <c r="O733"/>
      <c r="P733"/>
      <c r="Q733" t="s">
        <v>634</v>
      </c>
      <c r="R733" t="s">
        <v>635</v>
      </c>
      <c r="S733" t="s">
        <v>703</v>
      </c>
      <c r="T733">
        <f>10/3</f>
        <v>3.3333333333333335</v>
      </c>
      <c r="U733" s="2">
        <f>Table1[[#This Row],[Coal Power Plant Size (MW) or Share]]*0.593*9057*211.9*10^(-9)</f>
        <v>3.7935757729999999E-3</v>
      </c>
      <c r="V733" s="2">
        <f>Table1[[#This Row],[Annual Emissions (MMTCO2)]]*40</f>
        <v>0.15174303091999999</v>
      </c>
      <c r="W733"/>
      <c r="X733">
        <f>10/3</f>
        <v>3.3333333333333335</v>
      </c>
      <c r="Y733"/>
      <c r="Z733" s="1"/>
      <c r="AA733" s="1"/>
    </row>
    <row r="734" spans="1:27" ht="27" hidden="1" customHeight="1">
      <c r="A734" t="s">
        <v>649</v>
      </c>
      <c r="B734" t="s">
        <v>565</v>
      </c>
      <c r="C734" t="s">
        <v>126</v>
      </c>
      <c r="D734" s="6">
        <v>43440000</v>
      </c>
      <c r="E734"/>
      <c r="F734"/>
      <c r="G734"/>
      <c r="H734" t="s">
        <v>1581</v>
      </c>
      <c r="I734" t="s">
        <v>1765</v>
      </c>
      <c r="J734" s="28">
        <v>41982</v>
      </c>
      <c r="K734" t="s">
        <v>1482</v>
      </c>
      <c r="L734" t="s">
        <v>705</v>
      </c>
      <c r="M734"/>
      <c r="N734"/>
      <c r="O734"/>
      <c r="P734"/>
      <c r="Q734" t="s">
        <v>634</v>
      </c>
      <c r="R734" t="s">
        <v>636</v>
      </c>
      <c r="S734" t="s">
        <v>703</v>
      </c>
      <c r="T734">
        <f>300/5</f>
        <v>60</v>
      </c>
      <c r="U734" s="2">
        <f>Table1[[#This Row],[Coal Power Plant Size (MW) or Share]]*0.593*9057*211.9*10^(-9)</f>
        <v>6.8284363914000015E-2</v>
      </c>
      <c r="V734" s="2">
        <f>Table1[[#This Row],[Annual Emissions (MMTCO2)]]*40</f>
        <v>2.7313745565600005</v>
      </c>
      <c r="W734"/>
      <c r="X734">
        <f>300/5</f>
        <v>60</v>
      </c>
      <c r="Y734"/>
      <c r="Z734" s="1"/>
      <c r="AA734" s="1"/>
    </row>
    <row r="735" spans="1:27" ht="27" hidden="1" customHeight="1">
      <c r="A735" t="s">
        <v>649</v>
      </c>
      <c r="B735" t="s">
        <v>565</v>
      </c>
      <c r="C735" t="s">
        <v>126</v>
      </c>
      <c r="D735" s="6">
        <v>12500000</v>
      </c>
      <c r="E735"/>
      <c r="F735"/>
      <c r="G735"/>
      <c r="H735" t="s">
        <v>1610</v>
      </c>
      <c r="I735" t="s">
        <v>1869</v>
      </c>
      <c r="J735" s="28">
        <v>42002</v>
      </c>
      <c r="K735" t="s">
        <v>990</v>
      </c>
      <c r="L735" t="s">
        <v>1503</v>
      </c>
      <c r="M735"/>
      <c r="N735"/>
      <c r="O735"/>
      <c r="P735"/>
      <c r="Q735" t="s">
        <v>634</v>
      </c>
      <c r="R735" t="s">
        <v>635</v>
      </c>
      <c r="S735" t="s">
        <v>703</v>
      </c>
      <c r="T735">
        <f>25/4</f>
        <v>6.25</v>
      </c>
      <c r="U735" s="2">
        <f>Table1[[#This Row],[Coal Power Plant Size (MW) or Share]]*0.593*9057*211.9*10^(-9)</f>
        <v>7.1129545743750001E-3</v>
      </c>
      <c r="V735" s="2">
        <f>Table1[[#This Row],[Annual Emissions (MMTCO2)]]*40</f>
        <v>0.28451818297499998</v>
      </c>
      <c r="W735"/>
      <c r="X735">
        <f>25/4</f>
        <v>6.25</v>
      </c>
      <c r="Y735"/>
      <c r="Z735" s="1"/>
      <c r="AA735" s="1"/>
    </row>
    <row r="736" spans="1:27" ht="27" hidden="1" customHeight="1">
      <c r="A736" t="s">
        <v>649</v>
      </c>
      <c r="B736" t="s">
        <v>565</v>
      </c>
      <c r="C736" t="s">
        <v>126</v>
      </c>
      <c r="D736" s="6">
        <v>25000000</v>
      </c>
      <c r="E736"/>
      <c r="F736"/>
      <c r="G736"/>
      <c r="H736" t="s">
        <v>1637</v>
      </c>
      <c r="I736" t="s">
        <v>1802</v>
      </c>
      <c r="J736" s="28">
        <v>42002</v>
      </c>
      <c r="K736" t="s">
        <v>990</v>
      </c>
      <c r="L736" t="s">
        <v>1488</v>
      </c>
      <c r="M736"/>
      <c r="N736"/>
      <c r="O736"/>
      <c r="P736"/>
      <c r="Q736" t="s">
        <v>634</v>
      </c>
      <c r="R736" t="s">
        <v>636</v>
      </c>
      <c r="S736" t="s">
        <v>703</v>
      </c>
      <c r="T736">
        <f>215/4</f>
        <v>53.75</v>
      </c>
      <c r="U736" s="2">
        <f>Table1[[#This Row],[Coal Power Plant Size (MW) or Share]]*0.593*9057*211.9*10^(-9)</f>
        <v>6.1171409339624998E-2</v>
      </c>
      <c r="V736" s="2">
        <f>Table1[[#This Row],[Annual Emissions (MMTCO2)]]*40</f>
        <v>2.4468563735849997</v>
      </c>
      <c r="W736"/>
      <c r="X736">
        <f>215/4</f>
        <v>53.75</v>
      </c>
      <c r="Y736"/>
      <c r="Z736" s="1"/>
      <c r="AA736" s="1"/>
    </row>
    <row r="737" spans="1:27" ht="27" hidden="1" customHeight="1">
      <c r="A737" t="s">
        <v>649</v>
      </c>
      <c r="B737" t="s">
        <v>565</v>
      </c>
      <c r="C737" t="s">
        <v>126</v>
      </c>
      <c r="D737" s="6">
        <v>8330000</v>
      </c>
      <c r="E737"/>
      <c r="F737"/>
      <c r="G737"/>
      <c r="H737" t="s">
        <v>1596</v>
      </c>
      <c r="I737" t="s">
        <v>1855</v>
      </c>
      <c r="J737" s="28">
        <v>42050</v>
      </c>
      <c r="K737" t="s">
        <v>990</v>
      </c>
      <c r="L737" t="s">
        <v>1597</v>
      </c>
      <c r="M737"/>
      <c r="N737"/>
      <c r="O737"/>
      <c r="P737"/>
      <c r="Q737" t="s">
        <v>634</v>
      </c>
      <c r="R737" t="s">
        <v>636</v>
      </c>
      <c r="S737" t="s">
        <v>703</v>
      </c>
      <c r="T737">
        <f>32.1/3</f>
        <v>10.700000000000001</v>
      </c>
      <c r="U737" s="2">
        <f>Table1[[#This Row],[Coal Power Plant Size (MW) or Share]]*0.593*9057*211.9*10^(-9)</f>
        <v>1.2177378231330003E-2</v>
      </c>
      <c r="V737" s="2">
        <f>Table1[[#This Row],[Annual Emissions (MMTCO2)]]*40</f>
        <v>0.48709512925320009</v>
      </c>
      <c r="W737"/>
      <c r="X737">
        <f>32.1/3</f>
        <v>10.700000000000001</v>
      </c>
      <c r="Y737"/>
      <c r="Z737" s="1"/>
      <c r="AA737" s="1"/>
    </row>
    <row r="738" spans="1:27" ht="27" hidden="1" customHeight="1">
      <c r="A738" t="s">
        <v>649</v>
      </c>
      <c r="B738" t="s">
        <v>565</v>
      </c>
      <c r="C738" t="s">
        <v>126</v>
      </c>
      <c r="D738" s="6">
        <v>15000000</v>
      </c>
      <c r="E738"/>
      <c r="F738"/>
      <c r="G738"/>
      <c r="H738" t="s">
        <v>1703</v>
      </c>
      <c r="I738" t="s">
        <v>1773</v>
      </c>
      <c r="J738" s="28">
        <v>42050</v>
      </c>
      <c r="K738" t="s">
        <v>990</v>
      </c>
      <c r="L738" t="s">
        <v>1597</v>
      </c>
      <c r="M738"/>
      <c r="N738"/>
      <c r="O738"/>
      <c r="P738"/>
      <c r="Q738" t="s">
        <v>634</v>
      </c>
      <c r="R738" t="s">
        <v>636</v>
      </c>
      <c r="S738" t="s">
        <v>703</v>
      </c>
      <c r="T738">
        <f>97.15/3</f>
        <v>32.383333333333333</v>
      </c>
      <c r="U738" s="2">
        <f>Table1[[#This Row],[Coal Power Plant Size (MW) or Share]]*0.593*9057*211.9*10^(-9)</f>
        <v>3.6854588634695006E-2</v>
      </c>
      <c r="V738" s="2">
        <f>Table1[[#This Row],[Annual Emissions (MMTCO2)]]*40</f>
        <v>1.4741835453878003</v>
      </c>
      <c r="W738"/>
      <c r="X738">
        <f>97.15/3</f>
        <v>32.383333333333333</v>
      </c>
      <c r="Y738"/>
      <c r="Z738" s="1"/>
      <c r="AA738" s="1"/>
    </row>
    <row r="739" spans="1:27" ht="27" hidden="1" customHeight="1">
      <c r="A739" t="s">
        <v>649</v>
      </c>
      <c r="B739" t="s">
        <v>565</v>
      </c>
      <c r="C739" t="s">
        <v>126</v>
      </c>
      <c r="D739" s="6">
        <v>11250000</v>
      </c>
      <c r="E739" t="s">
        <v>579</v>
      </c>
      <c r="F739"/>
      <c r="G739"/>
      <c r="H739" t="s">
        <v>606</v>
      </c>
      <c r="I739" t="s">
        <v>674</v>
      </c>
      <c r="J739" s="28">
        <v>42054</v>
      </c>
      <c r="K739" t="s">
        <v>989</v>
      </c>
      <c r="L739" t="s">
        <v>78</v>
      </c>
      <c r="M739"/>
      <c r="N739"/>
      <c r="O739"/>
      <c r="P739"/>
      <c r="Q739" t="s">
        <v>634</v>
      </c>
      <c r="R739" t="s">
        <v>636</v>
      </c>
      <c r="S739" t="s">
        <v>646</v>
      </c>
      <c r="T739"/>
      <c r="U739" s="2">
        <f>Table1[[#This Row],[Coal Power Plant Size (MW) or Share]]*0.593*9057*211.9*10^(-9)</f>
        <v>0</v>
      </c>
      <c r="V739" s="2">
        <f>Table1[[#This Row],[Annual Emissions (MMTCO2)]]*40</f>
        <v>0</v>
      </c>
      <c r="W739"/>
      <c r="X739"/>
      <c r="Y739"/>
      <c r="Z739" s="1"/>
      <c r="AA739" s="1"/>
    </row>
    <row r="740" spans="1:27" ht="27" hidden="1" customHeight="1">
      <c r="A740" t="s">
        <v>649</v>
      </c>
      <c r="B740" t="s">
        <v>565</v>
      </c>
      <c r="C740" t="s">
        <v>126</v>
      </c>
      <c r="D740" s="6">
        <v>12130000</v>
      </c>
      <c r="E740" t="s">
        <v>577</v>
      </c>
      <c r="F740"/>
      <c r="G740"/>
      <c r="H740" t="s">
        <v>603</v>
      </c>
      <c r="I740" t="s">
        <v>671</v>
      </c>
      <c r="J740" s="28">
        <v>42090</v>
      </c>
      <c r="K740" t="s">
        <v>989</v>
      </c>
      <c r="L740" t="s">
        <v>78</v>
      </c>
      <c r="M740"/>
      <c r="N740"/>
      <c r="O740"/>
      <c r="P740"/>
      <c r="Q740" t="s">
        <v>634</v>
      </c>
      <c r="R740" t="s">
        <v>636</v>
      </c>
      <c r="S740" t="s">
        <v>646</v>
      </c>
      <c r="T740">
        <f>50/7</f>
        <v>7.1428571428571432</v>
      </c>
      <c r="U740" s="2">
        <f>Table1[[#This Row],[Coal Power Plant Size (MW) or Share]]*0.593*9057*211.9*10^(-9)</f>
        <v>8.1290909421428571E-3</v>
      </c>
      <c r="V740" s="2">
        <f>Table1[[#This Row],[Annual Emissions (MMTCO2)]]*40</f>
        <v>0.32516363768571427</v>
      </c>
      <c r="W740"/>
      <c r="X740">
        <f>50/7</f>
        <v>7.1428571428571432</v>
      </c>
      <c r="Y740"/>
      <c r="Z740" s="1"/>
      <c r="AA740" s="1"/>
    </row>
    <row r="741" spans="1:27" ht="27" hidden="1" customHeight="1">
      <c r="A741" t="s">
        <v>649</v>
      </c>
      <c r="B741" t="s">
        <v>565</v>
      </c>
      <c r="C741" t="s">
        <v>126</v>
      </c>
      <c r="D741" s="6">
        <v>3870000</v>
      </c>
      <c r="E741" t="s">
        <v>577</v>
      </c>
      <c r="F741"/>
      <c r="G741"/>
      <c r="H741" t="s">
        <v>603</v>
      </c>
      <c r="I741" t="s">
        <v>671</v>
      </c>
      <c r="J741" s="28">
        <v>42090</v>
      </c>
      <c r="K741" t="s">
        <v>989</v>
      </c>
      <c r="L741" t="s">
        <v>78</v>
      </c>
      <c r="M741"/>
      <c r="N741"/>
      <c r="O741"/>
      <c r="P741"/>
      <c r="Q741" t="s">
        <v>634</v>
      </c>
      <c r="R741" t="s">
        <v>636</v>
      </c>
      <c r="S741" t="s">
        <v>646</v>
      </c>
      <c r="T741">
        <f>50/7</f>
        <v>7.1428571428571432</v>
      </c>
      <c r="U741" s="2">
        <f>Table1[[#This Row],[Coal Power Plant Size (MW) or Share]]*0.593*9057*211.9*10^(-9)</f>
        <v>8.1290909421428571E-3</v>
      </c>
      <c r="V741" s="2">
        <f>Table1[[#This Row],[Annual Emissions (MMTCO2)]]*40</f>
        <v>0.32516363768571427</v>
      </c>
      <c r="W741"/>
      <c r="X741">
        <f>50/7</f>
        <v>7.1428571428571432</v>
      </c>
      <c r="Y741"/>
      <c r="Z741" s="1"/>
      <c r="AA741" s="1"/>
    </row>
    <row r="742" spans="1:27" ht="27" hidden="1" customHeight="1">
      <c r="A742" t="s">
        <v>649</v>
      </c>
      <c r="B742" t="s">
        <v>565</v>
      </c>
      <c r="C742" t="s">
        <v>126</v>
      </c>
      <c r="D742" s="6">
        <v>4000000</v>
      </c>
      <c r="E742"/>
      <c r="F742"/>
      <c r="G742"/>
      <c r="H742" t="s">
        <v>1539</v>
      </c>
      <c r="I742" t="s">
        <v>1829</v>
      </c>
      <c r="J742" s="28">
        <v>42144</v>
      </c>
      <c r="K742" t="s">
        <v>993</v>
      </c>
      <c r="L742" t="s">
        <v>1478</v>
      </c>
      <c r="M742"/>
      <c r="N742"/>
      <c r="O742"/>
      <c r="P742"/>
      <c r="Q742" t="s">
        <v>634</v>
      </c>
      <c r="R742" t="s">
        <v>635</v>
      </c>
      <c r="S742" t="s">
        <v>703</v>
      </c>
      <c r="T742">
        <f>21/3</f>
        <v>7</v>
      </c>
      <c r="U742" s="2">
        <f>Table1[[#This Row],[Coal Power Plant Size (MW) or Share]]*0.593*9057*211.9*10^(-9)</f>
        <v>7.9665091233000005E-3</v>
      </c>
      <c r="V742" s="2">
        <f>Table1[[#This Row],[Annual Emissions (MMTCO2)]]*40</f>
        <v>0.31866036493200001</v>
      </c>
      <c r="W742"/>
      <c r="X742">
        <f>21/3</f>
        <v>7</v>
      </c>
      <c r="Y742"/>
      <c r="Z742" s="1"/>
      <c r="AA742" s="1"/>
    </row>
    <row r="743" spans="1:27" ht="27" hidden="1" customHeight="1">
      <c r="A743" t="s">
        <v>649</v>
      </c>
      <c r="B743" t="s">
        <v>565</v>
      </c>
      <c r="C743" t="s">
        <v>126</v>
      </c>
      <c r="D743" s="6">
        <v>7200000</v>
      </c>
      <c r="E743"/>
      <c r="F743"/>
      <c r="G743"/>
      <c r="H743" t="s">
        <v>1477</v>
      </c>
      <c r="I743" t="s">
        <v>1831</v>
      </c>
      <c r="J743" s="28">
        <v>42145</v>
      </c>
      <c r="K743" t="s">
        <v>993</v>
      </c>
      <c r="L743" t="s">
        <v>1478</v>
      </c>
      <c r="M743"/>
      <c r="N743"/>
      <c r="O743"/>
      <c r="P743"/>
      <c r="Q743" t="s">
        <v>634</v>
      </c>
      <c r="R743" t="s">
        <v>635</v>
      </c>
      <c r="S743" t="s">
        <v>703</v>
      </c>
      <c r="T743">
        <f>30/3</f>
        <v>10</v>
      </c>
      <c r="U743" s="2">
        <f>Table1[[#This Row],[Coal Power Plant Size (MW) or Share]]*0.593*9057*211.9*10^(-9)</f>
        <v>1.1380727318999998E-2</v>
      </c>
      <c r="V743" s="2">
        <f>Table1[[#This Row],[Annual Emissions (MMTCO2)]]*40</f>
        <v>0.45522909275999995</v>
      </c>
      <c r="W743"/>
      <c r="X743">
        <f>30/3</f>
        <v>10</v>
      </c>
      <c r="Y743"/>
      <c r="Z743" s="1"/>
      <c r="AA743" s="1"/>
    </row>
    <row r="744" spans="1:27" ht="27" hidden="1" customHeight="1">
      <c r="A744" t="s">
        <v>649</v>
      </c>
      <c r="B744" t="s">
        <v>565</v>
      </c>
      <c r="C744" t="s">
        <v>126</v>
      </c>
      <c r="D744" s="6">
        <v>8700000</v>
      </c>
      <c r="E744"/>
      <c r="F744"/>
      <c r="G744"/>
      <c r="H744" t="s">
        <v>1565</v>
      </c>
      <c r="I744" t="s">
        <v>1834</v>
      </c>
      <c r="J744" s="28">
        <v>42145</v>
      </c>
      <c r="K744" t="s">
        <v>993</v>
      </c>
      <c r="L744" t="s">
        <v>1478</v>
      </c>
      <c r="M744"/>
      <c r="N744"/>
      <c r="O744"/>
      <c r="P744"/>
      <c r="Q744" t="s">
        <v>634</v>
      </c>
      <c r="R744" t="s">
        <v>635</v>
      </c>
      <c r="S744" t="s">
        <v>703</v>
      </c>
      <c r="T744">
        <f>20/3</f>
        <v>6.666666666666667</v>
      </c>
      <c r="U744" s="2">
        <f>Table1[[#This Row],[Coal Power Plant Size (MW) or Share]]*0.593*9057*211.9*10^(-9)</f>
        <v>7.5871515459999999E-3</v>
      </c>
      <c r="V744" s="2">
        <f>Table1[[#This Row],[Annual Emissions (MMTCO2)]]*40</f>
        <v>0.30348606183999999</v>
      </c>
      <c r="W744"/>
      <c r="X744">
        <f>20/3</f>
        <v>6.666666666666667</v>
      </c>
      <c r="Y744"/>
      <c r="Z744" s="1"/>
      <c r="AA744" s="1"/>
    </row>
    <row r="745" spans="1:27" ht="27" hidden="1" customHeight="1">
      <c r="A745" t="s">
        <v>649</v>
      </c>
      <c r="B745" t="s">
        <v>565</v>
      </c>
      <c r="C745" t="s">
        <v>126</v>
      </c>
      <c r="D745" s="6">
        <v>50000000</v>
      </c>
      <c r="E745" t="s">
        <v>575</v>
      </c>
      <c r="F745"/>
      <c r="G745"/>
      <c r="H745" t="s">
        <v>599</v>
      </c>
      <c r="I745" t="s">
        <v>665</v>
      </c>
      <c r="J745" s="28">
        <v>42236</v>
      </c>
      <c r="K745" t="s">
        <v>989</v>
      </c>
      <c r="L745" t="s">
        <v>26</v>
      </c>
      <c r="M745" t="s">
        <v>643</v>
      </c>
      <c r="N745"/>
      <c r="O745"/>
      <c r="P745"/>
      <c r="Q745" t="s">
        <v>634</v>
      </c>
      <c r="R745" t="s">
        <v>636</v>
      </c>
      <c r="S745" t="s">
        <v>646</v>
      </c>
      <c r="T745">
        <v>100.8</v>
      </c>
      <c r="U745" s="2">
        <f>Table1[[#This Row],[Coal Power Plant Size (MW) or Share]]*0.593*9057*211.9*10^(-9)</f>
        <v>0.11471773137551999</v>
      </c>
      <c r="V745" s="2">
        <f>Table1[[#This Row],[Annual Emissions (MMTCO2)]]*40</f>
        <v>4.5887092550207997</v>
      </c>
      <c r="W745"/>
      <c r="X745">
        <v>100.8</v>
      </c>
      <c r="Y745"/>
      <c r="Z745" s="1"/>
      <c r="AA745" s="1"/>
    </row>
    <row r="746" spans="1:27" ht="27" hidden="1" customHeight="1">
      <c r="A746" t="s">
        <v>649</v>
      </c>
      <c r="B746" t="s">
        <v>565</v>
      </c>
      <c r="C746" t="s">
        <v>126</v>
      </c>
      <c r="D746" s="6">
        <v>16000000</v>
      </c>
      <c r="E746"/>
      <c r="F746"/>
      <c r="G746"/>
      <c r="H746" t="s">
        <v>1606</v>
      </c>
      <c r="I746" t="s">
        <v>1905</v>
      </c>
      <c r="J746" s="28">
        <v>42291</v>
      </c>
      <c r="K746" t="s">
        <v>1482</v>
      </c>
      <c r="L746" t="s">
        <v>1589</v>
      </c>
      <c r="M746"/>
      <c r="N746"/>
      <c r="O746"/>
      <c r="P746"/>
      <c r="Q746" t="s">
        <v>634</v>
      </c>
      <c r="R746" t="s">
        <v>640</v>
      </c>
      <c r="S746" t="s">
        <v>703</v>
      </c>
      <c r="T746">
        <f>27.2/3</f>
        <v>9.0666666666666664</v>
      </c>
      <c r="U746" s="2">
        <f>Table1[[#This Row],[Coal Power Plant Size (MW) or Share]]*0.593*9057*211.9*10^(-9)</f>
        <v>1.0318526102559998E-2</v>
      </c>
      <c r="V746" s="2">
        <f>Table1[[#This Row],[Annual Emissions (MMTCO2)]]*40</f>
        <v>0.41274104410239992</v>
      </c>
      <c r="W746"/>
      <c r="X746">
        <f>27.2/3</f>
        <v>9.0666666666666664</v>
      </c>
      <c r="Y746"/>
      <c r="Z746" s="1"/>
      <c r="AA746" s="1"/>
    </row>
    <row r="747" spans="1:27" ht="27" hidden="1" customHeight="1">
      <c r="A747" t="s">
        <v>649</v>
      </c>
      <c r="B747" t="s">
        <v>565</v>
      </c>
      <c r="C747" t="s">
        <v>126</v>
      </c>
      <c r="D747" s="6">
        <v>5000000</v>
      </c>
      <c r="E747"/>
      <c r="F747"/>
      <c r="G747"/>
      <c r="H747" t="s">
        <v>1606</v>
      </c>
      <c r="I747" t="s">
        <v>1905</v>
      </c>
      <c r="J747" s="28">
        <v>42291</v>
      </c>
      <c r="K747" t="s">
        <v>1482</v>
      </c>
      <c r="L747" t="s">
        <v>1589</v>
      </c>
      <c r="M747"/>
      <c r="N747"/>
      <c r="O747"/>
      <c r="P747"/>
      <c r="Q747" t="s">
        <v>634</v>
      </c>
      <c r="R747" t="s">
        <v>640</v>
      </c>
      <c r="S747" t="s">
        <v>703</v>
      </c>
      <c r="T747">
        <f>27.2/3</f>
        <v>9.0666666666666664</v>
      </c>
      <c r="U747" s="2">
        <f>Table1[[#This Row],[Coal Power Plant Size (MW) or Share]]*0.593*9057*211.9*10^(-9)</f>
        <v>1.0318526102559998E-2</v>
      </c>
      <c r="V747" s="2">
        <f>Table1[[#This Row],[Annual Emissions (MMTCO2)]]*40</f>
        <v>0.41274104410239992</v>
      </c>
      <c r="W747"/>
      <c r="X747">
        <f>27.2/3</f>
        <v>9.0666666666666664</v>
      </c>
      <c r="Y747"/>
      <c r="Z747" s="1"/>
      <c r="AA747" s="1"/>
    </row>
    <row r="748" spans="1:27" ht="27" hidden="1" customHeight="1">
      <c r="A748" t="s">
        <v>649</v>
      </c>
      <c r="B748" t="s">
        <v>565</v>
      </c>
      <c r="C748" t="s">
        <v>126</v>
      </c>
      <c r="D748" s="6">
        <v>10600000</v>
      </c>
      <c r="E748"/>
      <c r="F748"/>
      <c r="G748"/>
      <c r="H748" t="s">
        <v>1606</v>
      </c>
      <c r="I748" t="s">
        <v>1905</v>
      </c>
      <c r="J748" s="28">
        <v>42291</v>
      </c>
      <c r="K748" t="s">
        <v>1482</v>
      </c>
      <c r="L748" t="s">
        <v>1589</v>
      </c>
      <c r="M748"/>
      <c r="N748"/>
      <c r="O748"/>
      <c r="P748"/>
      <c r="Q748" t="s">
        <v>634</v>
      </c>
      <c r="R748" t="s">
        <v>640</v>
      </c>
      <c r="S748" t="s">
        <v>703</v>
      </c>
      <c r="T748">
        <f>27.2/3</f>
        <v>9.0666666666666664</v>
      </c>
      <c r="U748" s="2">
        <f>Table1[[#This Row],[Coal Power Plant Size (MW) or Share]]*0.593*9057*211.9*10^(-9)</f>
        <v>1.0318526102559998E-2</v>
      </c>
      <c r="V748" s="2">
        <f>Table1[[#This Row],[Annual Emissions (MMTCO2)]]*40</f>
        <v>0.41274104410239992</v>
      </c>
      <c r="W748"/>
      <c r="X748">
        <f>27.2/3</f>
        <v>9.0666666666666664</v>
      </c>
      <c r="Y748"/>
      <c r="Z748" s="1"/>
      <c r="AA748" s="1"/>
    </row>
    <row r="749" spans="1:27" ht="27" hidden="1" customHeight="1">
      <c r="A749" t="s">
        <v>649</v>
      </c>
      <c r="B749" t="s">
        <v>565</v>
      </c>
      <c r="C749" t="s">
        <v>126</v>
      </c>
      <c r="D749" s="6">
        <v>10800000</v>
      </c>
      <c r="E749"/>
      <c r="F749"/>
      <c r="G749"/>
      <c r="H749" t="s">
        <v>1670</v>
      </c>
      <c r="I749" t="s">
        <v>1904</v>
      </c>
      <c r="J749" s="28">
        <v>42305</v>
      </c>
      <c r="K749" t="s">
        <v>1482</v>
      </c>
      <c r="L749" t="s">
        <v>1589</v>
      </c>
      <c r="M749"/>
      <c r="N749"/>
      <c r="O749"/>
      <c r="P749"/>
      <c r="Q749" t="s">
        <v>634</v>
      </c>
      <c r="R749" t="s">
        <v>640</v>
      </c>
      <c r="S749" t="s">
        <v>703</v>
      </c>
      <c r="T749">
        <v>5</v>
      </c>
      <c r="U749" s="2">
        <f>Table1[[#This Row],[Coal Power Plant Size (MW) or Share]]*0.593*9057*211.9*10^(-9)</f>
        <v>5.6903636594999992E-3</v>
      </c>
      <c r="V749" s="2">
        <f>Table1[[#This Row],[Annual Emissions (MMTCO2)]]*40</f>
        <v>0.22761454637999998</v>
      </c>
      <c r="W749"/>
      <c r="X749">
        <v>5</v>
      </c>
      <c r="Y749"/>
      <c r="Z749" s="1"/>
      <c r="AA749" s="1"/>
    </row>
    <row r="750" spans="1:27" ht="27" hidden="1" customHeight="1">
      <c r="A750" t="s">
        <v>649</v>
      </c>
      <c r="B750" t="s">
        <v>565</v>
      </c>
      <c r="C750" t="s">
        <v>126</v>
      </c>
      <c r="D750" s="6">
        <v>87000000</v>
      </c>
      <c r="E750"/>
      <c r="F750"/>
      <c r="G750"/>
      <c r="H750" t="s">
        <v>1495</v>
      </c>
      <c r="I750" t="s">
        <v>1903</v>
      </c>
      <c r="J750" s="28">
        <v>42307</v>
      </c>
      <c r="K750" t="s">
        <v>990</v>
      </c>
      <c r="L750" t="s">
        <v>1471</v>
      </c>
      <c r="M750"/>
      <c r="N750"/>
      <c r="O750"/>
      <c r="P750"/>
      <c r="Q750" t="s">
        <v>634</v>
      </c>
      <c r="R750" t="s">
        <v>636</v>
      </c>
      <c r="S750" t="s">
        <v>703</v>
      </c>
      <c r="T750">
        <v>80</v>
      </c>
      <c r="U750" s="2">
        <f>Table1[[#This Row],[Coal Power Plant Size (MW) or Share]]*0.593*9057*211.9*10^(-9)</f>
        <v>9.1045818551999988E-2</v>
      </c>
      <c r="V750" s="2">
        <f>Table1[[#This Row],[Annual Emissions (MMTCO2)]]*40</f>
        <v>3.6418327420799996</v>
      </c>
      <c r="W750"/>
      <c r="X750">
        <v>80</v>
      </c>
      <c r="Y750"/>
      <c r="Z750" s="1"/>
      <c r="AA750" s="1"/>
    </row>
    <row r="751" spans="1:27" ht="27" hidden="1" customHeight="1">
      <c r="A751" t="s">
        <v>649</v>
      </c>
      <c r="B751" t="s">
        <v>565</v>
      </c>
      <c r="C751" t="s">
        <v>126</v>
      </c>
      <c r="D751" s="6">
        <v>10700000</v>
      </c>
      <c r="E751"/>
      <c r="F751"/>
      <c r="G751"/>
      <c r="H751" t="s">
        <v>1676</v>
      </c>
      <c r="I751" t="s">
        <v>1864</v>
      </c>
      <c r="J751" s="28">
        <v>42388</v>
      </c>
      <c r="K751" t="s">
        <v>1482</v>
      </c>
      <c r="L751" t="s">
        <v>1589</v>
      </c>
      <c r="M751"/>
      <c r="N751"/>
      <c r="O751"/>
      <c r="P751"/>
      <c r="Q751" t="s">
        <v>634</v>
      </c>
      <c r="R751" t="s">
        <v>635</v>
      </c>
      <c r="S751" t="s">
        <v>703</v>
      </c>
      <c r="T751">
        <v>10</v>
      </c>
      <c r="U751" s="2">
        <f>Table1[[#This Row],[Coal Power Plant Size (MW) or Share]]*0.593*9057*211.9*10^(-9)</f>
        <v>1.1380727318999998E-2</v>
      </c>
      <c r="V751" s="2">
        <f>Table1[[#This Row],[Annual Emissions (MMTCO2)]]*40</f>
        <v>0.45522909275999995</v>
      </c>
      <c r="W751"/>
      <c r="X751">
        <v>10</v>
      </c>
      <c r="Y751"/>
      <c r="Z751" s="1"/>
      <c r="AA751" s="1"/>
    </row>
    <row r="752" spans="1:27" ht="27" hidden="1" customHeight="1">
      <c r="A752" t="s">
        <v>649</v>
      </c>
      <c r="B752" t="s">
        <v>565</v>
      </c>
      <c r="C752" t="s">
        <v>126</v>
      </c>
      <c r="D752" s="6">
        <v>12000000</v>
      </c>
      <c r="E752"/>
      <c r="F752"/>
      <c r="G752"/>
      <c r="H752" t="s">
        <v>1514</v>
      </c>
      <c r="I752" t="s">
        <v>1874</v>
      </c>
      <c r="J752" s="28">
        <v>42768</v>
      </c>
      <c r="K752" t="s">
        <v>993</v>
      </c>
      <c r="L752" t="s">
        <v>1478</v>
      </c>
      <c r="M752"/>
      <c r="N752"/>
      <c r="O752"/>
      <c r="P752"/>
      <c r="Q752" t="s">
        <v>634</v>
      </c>
      <c r="R752" t="s">
        <v>635</v>
      </c>
      <c r="S752" t="s">
        <v>703</v>
      </c>
      <c r="T752">
        <f>66.4/2</f>
        <v>33.200000000000003</v>
      </c>
      <c r="U752" s="2">
        <f>Table1[[#This Row],[Coal Power Plant Size (MW) or Share]]*0.593*9057*211.9*10^(-9)</f>
        <v>3.7784014699080007E-2</v>
      </c>
      <c r="V752" s="2">
        <f>Table1[[#This Row],[Annual Emissions (MMTCO2)]]*40</f>
        <v>1.5113605879632002</v>
      </c>
      <c r="W752"/>
      <c r="X752">
        <f>66.4/2</f>
        <v>33.200000000000003</v>
      </c>
      <c r="Y752"/>
      <c r="Z752" s="1"/>
      <c r="AA752" s="1"/>
    </row>
    <row r="753" spans="1:27" ht="27" hidden="1" customHeight="1">
      <c r="A753" t="s">
        <v>649</v>
      </c>
      <c r="B753" t="s">
        <v>565</v>
      </c>
      <c r="C753" t="s">
        <v>126</v>
      </c>
      <c r="D753" s="6">
        <v>35000000</v>
      </c>
      <c r="E753" t="s">
        <v>1976</v>
      </c>
      <c r="F753"/>
      <c r="G753"/>
      <c r="H753" t="s">
        <v>1974</v>
      </c>
      <c r="I753" t="s">
        <v>1975</v>
      </c>
      <c r="J753" s="28">
        <v>54789</v>
      </c>
      <c r="K753" t="s">
        <v>993</v>
      </c>
      <c r="L753" t="s">
        <v>1478</v>
      </c>
      <c r="M753" t="s">
        <v>1989</v>
      </c>
      <c r="N753" t="s">
        <v>1977</v>
      </c>
      <c r="O753"/>
      <c r="P753"/>
      <c r="Q753" t="s">
        <v>634</v>
      </c>
      <c r="R753" t="s">
        <v>635</v>
      </c>
      <c r="S753" t="s">
        <v>476</v>
      </c>
      <c r="T753">
        <f>51/2</f>
        <v>25.5</v>
      </c>
      <c r="U753" s="2">
        <f>Table1[[#This Row],[Coal Power Plant Size (MW) or Share]]*0.593*9057*211.9*10^(-9)</f>
        <v>2.9020854663450002E-2</v>
      </c>
      <c r="V753" s="2">
        <f>Table1[[#This Row],[Annual Emissions (MMTCO2)]]*40</f>
        <v>1.1608341865380001</v>
      </c>
      <c r="W753"/>
      <c r="X753">
        <f>51/2</f>
        <v>25.5</v>
      </c>
      <c r="Y753"/>
      <c r="Z753" s="1"/>
      <c r="AA753" s="1"/>
    </row>
    <row r="754" spans="1:27" ht="27" hidden="1" customHeight="1">
      <c r="A754" t="s">
        <v>649</v>
      </c>
      <c r="B754" t="s">
        <v>565</v>
      </c>
      <c r="C754" t="s">
        <v>126</v>
      </c>
      <c r="D754" s="6">
        <v>0</v>
      </c>
      <c r="E754"/>
      <c r="F754"/>
      <c r="G754"/>
      <c r="H754" t="s">
        <v>1484</v>
      </c>
      <c r="I754" t="s">
        <v>1875</v>
      </c>
      <c r="J754" s="28">
        <v>54789</v>
      </c>
      <c r="K754" t="s">
        <v>990</v>
      </c>
      <c r="L754" t="s">
        <v>1485</v>
      </c>
      <c r="M754"/>
      <c r="N754"/>
      <c r="O754"/>
      <c r="P754"/>
      <c r="Q754" t="s">
        <v>634</v>
      </c>
      <c r="R754" t="s">
        <v>640</v>
      </c>
      <c r="S754" t="s">
        <v>1486</v>
      </c>
      <c r="T754">
        <v>85</v>
      </c>
      <c r="U754" s="2">
        <f>Table1[[#This Row],[Coal Power Plant Size (MW) or Share]]*0.593*9057*211.9*10^(-9)</f>
        <v>9.6736182211500016E-2</v>
      </c>
      <c r="V754" s="2">
        <f>Table1[[#This Row],[Annual Emissions (MMTCO2)]]*40</f>
        <v>3.8694472884600009</v>
      </c>
      <c r="W754"/>
      <c r="X754">
        <v>85</v>
      </c>
      <c r="Y754"/>
      <c r="Z754" s="1"/>
      <c r="AA754" s="1"/>
    </row>
    <row r="755" spans="1:27" ht="27" hidden="1" customHeight="1">
      <c r="A755" t="s">
        <v>649</v>
      </c>
      <c r="B755" t="s">
        <v>565</v>
      </c>
      <c r="C755" t="s">
        <v>126</v>
      </c>
      <c r="D755" s="6">
        <v>17900000</v>
      </c>
      <c r="E755"/>
      <c r="F755"/>
      <c r="G755"/>
      <c r="H755" t="s">
        <v>1587</v>
      </c>
      <c r="I755" t="s">
        <v>1858</v>
      </c>
      <c r="J755" s="28">
        <v>54789</v>
      </c>
      <c r="K755" t="s">
        <v>989</v>
      </c>
      <c r="L755" t="s">
        <v>1567</v>
      </c>
      <c r="M755"/>
      <c r="N755"/>
      <c r="O755"/>
      <c r="P755"/>
      <c r="Q755" t="s">
        <v>634</v>
      </c>
      <c r="R755" t="s">
        <v>640</v>
      </c>
      <c r="S755" t="s">
        <v>476</v>
      </c>
      <c r="T755">
        <f>82/3</f>
        <v>27.333333333333332</v>
      </c>
      <c r="U755" s="2">
        <f>Table1[[#This Row],[Coal Power Plant Size (MW) or Share]]*0.593*9057*211.9*10^(-9)</f>
        <v>3.1107321338600002E-2</v>
      </c>
      <c r="V755" s="2">
        <f>Table1[[#This Row],[Annual Emissions (MMTCO2)]]*40</f>
        <v>1.2442928535440001</v>
      </c>
      <c r="W755"/>
      <c r="X755">
        <f>82/3</f>
        <v>27.333333333333332</v>
      </c>
      <c r="Y755"/>
      <c r="Z755" s="1"/>
      <c r="AA755" s="1"/>
    </row>
    <row r="756" spans="1:27" ht="27" hidden="1" customHeight="1">
      <c r="A756" t="s">
        <v>649</v>
      </c>
      <c r="B756" t="s">
        <v>565</v>
      </c>
      <c r="C756" t="s">
        <v>126</v>
      </c>
      <c r="D756" s="6">
        <v>5100000</v>
      </c>
      <c r="E756"/>
      <c r="F756"/>
      <c r="G756"/>
      <c r="H756" t="s">
        <v>1588</v>
      </c>
      <c r="I756" t="s">
        <v>1918</v>
      </c>
      <c r="J756" s="28">
        <v>54789</v>
      </c>
      <c r="K756" t="s">
        <v>1482</v>
      </c>
      <c r="L756" t="s">
        <v>1589</v>
      </c>
      <c r="M756"/>
      <c r="N756"/>
      <c r="O756"/>
      <c r="P756"/>
      <c r="Q756" t="s">
        <v>634</v>
      </c>
      <c r="R756" t="s">
        <v>640</v>
      </c>
      <c r="S756" t="s">
        <v>476</v>
      </c>
      <c r="T756">
        <v>5.4</v>
      </c>
      <c r="U756" s="2">
        <f>Table1[[#This Row],[Coal Power Plant Size (MW) or Share]]*0.593*9057*211.9*10^(-9)</f>
        <v>6.14559275226E-3</v>
      </c>
      <c r="V756" s="2">
        <f>Table1[[#This Row],[Annual Emissions (MMTCO2)]]*40</f>
        <v>0.24582371009039999</v>
      </c>
      <c r="W756"/>
      <c r="X756">
        <v>5.4</v>
      </c>
      <c r="Y756"/>
      <c r="Z756" s="1"/>
      <c r="AA756" s="1"/>
    </row>
    <row r="757" spans="1:27" ht="27" hidden="1" customHeight="1">
      <c r="A757" t="s">
        <v>649</v>
      </c>
      <c r="B757" t="s">
        <v>565</v>
      </c>
      <c r="C757" t="s">
        <v>126</v>
      </c>
      <c r="D757" s="6">
        <v>27000000</v>
      </c>
      <c r="E757"/>
      <c r="F757"/>
      <c r="G757"/>
      <c r="H757" t="s">
        <v>1593</v>
      </c>
      <c r="I757" t="s">
        <v>1928</v>
      </c>
      <c r="J757" s="28">
        <v>54789</v>
      </c>
      <c r="K757" t="s">
        <v>993</v>
      </c>
      <c r="L757" t="s">
        <v>1478</v>
      </c>
      <c r="M757"/>
      <c r="N757"/>
      <c r="O757"/>
      <c r="P757"/>
      <c r="Q757" t="s">
        <v>634</v>
      </c>
      <c r="R757" t="s">
        <v>635</v>
      </c>
      <c r="S757" t="s">
        <v>476</v>
      </c>
      <c r="T757">
        <v>60.3</v>
      </c>
      <c r="U757" s="2">
        <f>Table1[[#This Row],[Coal Power Plant Size (MW) or Share]]*0.593*9057*211.9*10^(-9)</f>
        <v>6.8625785733570019E-2</v>
      </c>
      <c r="V757" s="2">
        <f>Table1[[#This Row],[Annual Emissions (MMTCO2)]]*40</f>
        <v>2.7450314293428009</v>
      </c>
      <c r="W757"/>
      <c r="X757">
        <v>60.3</v>
      </c>
      <c r="Y757"/>
      <c r="Z757" s="1"/>
      <c r="AA757" s="1"/>
    </row>
    <row r="758" spans="1:27" ht="27" hidden="1" customHeight="1">
      <c r="A758" t="s">
        <v>649</v>
      </c>
      <c r="B758" t="s">
        <v>565</v>
      </c>
      <c r="C758" t="s">
        <v>126</v>
      </c>
      <c r="D758" s="6">
        <v>40000000</v>
      </c>
      <c r="E758"/>
      <c r="F758"/>
      <c r="G758"/>
      <c r="H758" t="s">
        <v>1636</v>
      </c>
      <c r="I758" t="s">
        <v>1934</v>
      </c>
      <c r="J758" s="28">
        <v>54789</v>
      </c>
      <c r="K758" t="s">
        <v>1482</v>
      </c>
      <c r="L758" t="s">
        <v>49</v>
      </c>
      <c r="M758"/>
      <c r="N758"/>
      <c r="O758"/>
      <c r="P758"/>
      <c r="Q758" t="s">
        <v>634</v>
      </c>
      <c r="R758" t="s">
        <v>635</v>
      </c>
      <c r="S758" t="s">
        <v>476</v>
      </c>
      <c r="T758">
        <f>75/2</f>
        <v>37.5</v>
      </c>
      <c r="U758" s="2">
        <f>Table1[[#This Row],[Coal Power Plant Size (MW) or Share]]*0.593*9057*211.9*10^(-9)</f>
        <v>4.2677727446250001E-2</v>
      </c>
      <c r="V758" s="2">
        <f>Table1[[#This Row],[Annual Emissions (MMTCO2)]]*40</f>
        <v>1.7071090978500001</v>
      </c>
      <c r="W758"/>
      <c r="X758">
        <f>75/2</f>
        <v>37.5</v>
      </c>
      <c r="Y758"/>
      <c r="Z758" s="1"/>
      <c r="AA758" s="1"/>
    </row>
    <row r="759" spans="1:27" ht="27" hidden="1" customHeight="1">
      <c r="A759" t="s">
        <v>649</v>
      </c>
      <c r="B759" t="s">
        <v>565</v>
      </c>
      <c r="C759" t="s">
        <v>126</v>
      </c>
      <c r="D759" s="6">
        <v>7330000</v>
      </c>
      <c r="E759"/>
      <c r="F759"/>
      <c r="G759"/>
      <c r="H759" t="s">
        <v>1702</v>
      </c>
      <c r="I759" t="s">
        <v>1865</v>
      </c>
      <c r="J759" s="28">
        <v>54789</v>
      </c>
      <c r="K759" t="s">
        <v>1482</v>
      </c>
      <c r="L759" t="s">
        <v>1589</v>
      </c>
      <c r="M759"/>
      <c r="N759"/>
      <c r="O759"/>
      <c r="P759"/>
      <c r="Q759" t="s">
        <v>634</v>
      </c>
      <c r="R759" t="s">
        <v>635</v>
      </c>
      <c r="S759" t="s">
        <v>476</v>
      </c>
      <c r="T759">
        <f>10/2</f>
        <v>5</v>
      </c>
      <c r="U759" s="2">
        <f>Table1[[#This Row],[Coal Power Plant Size (MW) or Share]]*0.593*9057*211.9*10^(-9)</f>
        <v>5.6903636594999992E-3</v>
      </c>
      <c r="V759" s="2">
        <f>Table1[[#This Row],[Annual Emissions (MMTCO2)]]*40</f>
        <v>0.22761454637999998</v>
      </c>
      <c r="W759"/>
      <c r="X759">
        <f>10/2</f>
        <v>5</v>
      </c>
      <c r="Y759"/>
      <c r="Z759" s="1"/>
      <c r="AA759" s="1"/>
    </row>
    <row r="760" spans="1:27" ht="27" hidden="1" customHeight="1">
      <c r="A760" t="s">
        <v>1491</v>
      </c>
      <c r="B760" t="s">
        <v>1480</v>
      </c>
      <c r="C760" t="s">
        <v>126</v>
      </c>
      <c r="D760" s="6">
        <v>700000</v>
      </c>
      <c r="E760"/>
      <c r="F760"/>
      <c r="G760"/>
      <c r="H760" t="s">
        <v>1481</v>
      </c>
      <c r="I760" t="s">
        <v>1811</v>
      </c>
      <c r="J760" s="28">
        <v>41688</v>
      </c>
      <c r="K760" t="s">
        <v>1482</v>
      </c>
      <c r="L760" t="s">
        <v>1483</v>
      </c>
      <c r="M760"/>
      <c r="N760"/>
      <c r="O760"/>
      <c r="P760"/>
      <c r="Q760" t="s">
        <v>634</v>
      </c>
      <c r="R760" t="s">
        <v>635</v>
      </c>
      <c r="S760" t="s">
        <v>703</v>
      </c>
      <c r="T760">
        <f>8.5/3</f>
        <v>2.8333333333333335</v>
      </c>
      <c r="U760" s="2">
        <f>Table1[[#This Row],[Coal Power Plant Size (MW) or Share]]*0.593*9057*211.9*10^(-9)</f>
        <v>3.2245394070499998E-3</v>
      </c>
      <c r="V760" s="2">
        <f>Table1[[#This Row],[Annual Emissions (MMTCO2)]]*40</f>
        <v>0.12898157628199999</v>
      </c>
      <c r="W760"/>
      <c r="X760">
        <f>8.5/3</f>
        <v>2.8333333333333335</v>
      </c>
      <c r="Y760"/>
      <c r="Z760" s="1"/>
      <c r="AA760" s="1"/>
    </row>
    <row r="761" spans="1:27" ht="27" hidden="1" customHeight="1">
      <c r="A761" t="s">
        <v>112</v>
      </c>
      <c r="B761" t="s">
        <v>744</v>
      </c>
      <c r="C761" t="s">
        <v>1465</v>
      </c>
      <c r="D761" s="6"/>
      <c r="E761" t="s">
        <v>750</v>
      </c>
      <c r="F761"/>
      <c r="G761"/>
      <c r="H761" t="s">
        <v>745</v>
      </c>
      <c r="I761" t="s">
        <v>746</v>
      </c>
      <c r="J761" s="28">
        <v>42509</v>
      </c>
      <c r="K761" t="s">
        <v>992</v>
      </c>
      <c r="L761" t="s">
        <v>219</v>
      </c>
      <c r="M761" t="s">
        <v>747</v>
      </c>
      <c r="N761" t="s">
        <v>749</v>
      </c>
      <c r="O761"/>
      <c r="P761"/>
      <c r="Q761" t="s">
        <v>37</v>
      </c>
      <c r="R761" t="s">
        <v>748</v>
      </c>
      <c r="S761" t="s">
        <v>703</v>
      </c>
      <c r="T761">
        <v>0</v>
      </c>
      <c r="U761" s="2">
        <f>Table1[[#This Row],[Coal Power Plant Size (MW) or Share]]*0.593*9057*211.9*10^(-9)</f>
        <v>0</v>
      </c>
      <c r="V761" s="2">
        <f>Table1[[#This Row],[Annual Emissions (MMTCO2)]]*40</f>
        <v>0</v>
      </c>
      <c r="W761"/>
      <c r="X761"/>
      <c r="Y761"/>
      <c r="Z761" s="1"/>
      <c r="AA761" s="1"/>
    </row>
    <row r="762" spans="1:27" ht="27" hidden="1" customHeight="1">
      <c r="A762" t="s">
        <v>110</v>
      </c>
      <c r="B762" t="s">
        <v>363</v>
      </c>
      <c r="C762" t="s">
        <v>126</v>
      </c>
      <c r="D762" s="6">
        <v>2500000000</v>
      </c>
      <c r="E762" t="s">
        <v>368</v>
      </c>
      <c r="F762"/>
      <c r="G762"/>
      <c r="H762" t="s">
        <v>369</v>
      </c>
      <c r="I762" t="s">
        <v>370</v>
      </c>
      <c r="J762" s="28">
        <v>41518</v>
      </c>
      <c r="K762" t="s">
        <v>1451</v>
      </c>
      <c r="L762" t="s">
        <v>110</v>
      </c>
      <c r="M762"/>
      <c r="N762"/>
      <c r="O762" t="s">
        <v>371</v>
      </c>
      <c r="P762"/>
      <c r="Q762" t="s">
        <v>37</v>
      </c>
      <c r="R762" t="s">
        <v>37</v>
      </c>
      <c r="S762" t="s">
        <v>703</v>
      </c>
      <c r="T762"/>
      <c r="U762" s="2">
        <f>Table1[[#This Row],[Coal Power Plant Size (MW) or Share]]*0.593*9057*211.9*10^(-9)</f>
        <v>0</v>
      </c>
      <c r="V762" s="2">
        <f>Table1[[#This Row],[Annual Emissions (MMTCO2)]]*40</f>
        <v>0</v>
      </c>
      <c r="W762">
        <v>11.7</v>
      </c>
      <c r="X762"/>
      <c r="Y762"/>
      <c r="Z762" s="1"/>
      <c r="AA762" s="1"/>
    </row>
    <row r="763" spans="1:27" ht="27" hidden="1" customHeight="1">
      <c r="A763" t="s">
        <v>110</v>
      </c>
      <c r="B763" t="s">
        <v>363</v>
      </c>
      <c r="C763" t="s">
        <v>126</v>
      </c>
      <c r="D763" s="6">
        <v>20000000</v>
      </c>
      <c r="E763" t="s">
        <v>364</v>
      </c>
      <c r="F763"/>
      <c r="G763"/>
      <c r="H763" t="s">
        <v>365</v>
      </c>
      <c r="I763" t="s">
        <v>366</v>
      </c>
      <c r="J763" s="28">
        <v>42173</v>
      </c>
      <c r="K763" t="s">
        <v>1451</v>
      </c>
      <c r="L763" t="s">
        <v>36</v>
      </c>
      <c r="M763"/>
      <c r="N763"/>
      <c r="O763" t="s">
        <v>367</v>
      </c>
      <c r="P763"/>
      <c r="Q763" t="s">
        <v>17</v>
      </c>
      <c r="R763" t="s">
        <v>144</v>
      </c>
      <c r="S763" t="s">
        <v>703</v>
      </c>
      <c r="T763"/>
      <c r="U763" s="2">
        <f>Table1[[#This Row],[Coal Power Plant Size (MW) or Share]]*0.593*9057*211.9*10^(-9)</f>
        <v>0</v>
      </c>
      <c r="V763" s="2">
        <f>Table1[[#This Row],[Annual Emissions (MMTCO2)]]*40</f>
        <v>0</v>
      </c>
      <c r="W763"/>
      <c r="X763"/>
      <c r="Y763"/>
      <c r="Z763" s="1"/>
      <c r="AA763" s="1"/>
    </row>
    <row r="764" spans="1:27" ht="27" hidden="1" customHeight="1">
      <c r="A764" t="s">
        <v>110</v>
      </c>
      <c r="B764" t="s">
        <v>92</v>
      </c>
      <c r="C764" t="s">
        <v>14</v>
      </c>
      <c r="D764" s="6">
        <v>8092190.2255821535</v>
      </c>
      <c r="E764" t="s">
        <v>102</v>
      </c>
      <c r="F764"/>
      <c r="G764"/>
      <c r="H764" t="s">
        <v>103</v>
      </c>
      <c r="I764" t="s">
        <v>84</v>
      </c>
      <c r="J764" s="28">
        <v>42278</v>
      </c>
      <c r="K764" t="s">
        <v>992</v>
      </c>
      <c r="L764" t="s">
        <v>104</v>
      </c>
      <c r="M764"/>
      <c r="N764" t="s">
        <v>105</v>
      </c>
      <c r="O764" t="s">
        <v>106</v>
      </c>
      <c r="P764"/>
      <c r="Q764" t="s">
        <v>54</v>
      </c>
      <c r="R764" t="s">
        <v>55</v>
      </c>
      <c r="S764" t="s">
        <v>703</v>
      </c>
      <c r="T764"/>
      <c r="U764" s="2">
        <f>Table1[[#This Row],[Coal Power Plant Size (MW) or Share]]*0.593*9057*211.9*10^(-9)</f>
        <v>0</v>
      </c>
      <c r="V764" s="2">
        <f>Table1[[#This Row],[Annual Emissions (MMTCO2)]]*40</f>
        <v>0</v>
      </c>
      <c r="W764"/>
      <c r="X764"/>
      <c r="Y764"/>
      <c r="Z764" s="1"/>
      <c r="AA764" s="1"/>
    </row>
    <row r="765" spans="1:27" ht="27" hidden="1" customHeight="1">
      <c r="A765" t="s">
        <v>372</v>
      </c>
      <c r="B765" t="s">
        <v>28</v>
      </c>
      <c r="C765" t="s">
        <v>14</v>
      </c>
      <c r="D765" s="6">
        <v>404631.34343285923</v>
      </c>
      <c r="E765" t="s">
        <v>47</v>
      </c>
      <c r="F765"/>
      <c r="G765"/>
      <c r="H765" t="s">
        <v>48</v>
      </c>
      <c r="I765"/>
      <c r="J765" s="28">
        <v>42064</v>
      </c>
      <c r="K765" t="s">
        <v>1482</v>
      </c>
      <c r="L765" t="s">
        <v>49</v>
      </c>
      <c r="M765"/>
      <c r="N765" t="s">
        <v>50</v>
      </c>
      <c r="O765" t="s">
        <v>51</v>
      </c>
      <c r="P765"/>
      <c r="Q765" t="s">
        <v>17</v>
      </c>
      <c r="R765" t="s">
        <v>18</v>
      </c>
      <c r="S765" t="s">
        <v>703</v>
      </c>
      <c r="T765"/>
      <c r="U765" s="2">
        <f>Table1[[#This Row],[Coal Power Plant Size (MW) or Share]]*0.593*9057*211.9*10^(-9)</f>
        <v>0</v>
      </c>
      <c r="V765" s="2">
        <f>Table1[[#This Row],[Annual Emissions (MMTCO2)]]*40</f>
        <v>0</v>
      </c>
      <c r="W765"/>
      <c r="X765"/>
      <c r="Y765"/>
      <c r="Z765" s="1"/>
      <c r="AA765" s="1"/>
    </row>
    <row r="766" spans="1:27" ht="27" hidden="1" customHeight="1">
      <c r="A766" t="s">
        <v>372</v>
      </c>
      <c r="B766" t="s">
        <v>28</v>
      </c>
      <c r="C766" t="s">
        <v>14</v>
      </c>
      <c r="D766" s="6">
        <v>2276051.3068098333</v>
      </c>
      <c r="E766" t="s">
        <v>30</v>
      </c>
      <c r="F766"/>
      <c r="G766"/>
      <c r="H766" t="s">
        <v>52</v>
      </c>
      <c r="I766" t="s">
        <v>53</v>
      </c>
      <c r="J766" s="28">
        <v>42359</v>
      </c>
      <c r="K766" t="s">
        <v>1482</v>
      </c>
      <c r="L766" t="s">
        <v>31</v>
      </c>
      <c r="M766"/>
      <c r="N766" t="s">
        <v>56</v>
      </c>
      <c r="O766" t="s">
        <v>57</v>
      </c>
      <c r="P766"/>
      <c r="Q766" t="s">
        <v>54</v>
      </c>
      <c r="R766" t="s">
        <v>55</v>
      </c>
      <c r="S766" t="s">
        <v>703</v>
      </c>
      <c r="T766"/>
      <c r="U766" s="2">
        <f>Table1[[#This Row],[Coal Power Plant Size (MW) or Share]]*0.593*9057*211.9*10^(-9)</f>
        <v>0</v>
      </c>
      <c r="V766" s="2">
        <f>Table1[[#This Row],[Annual Emissions (MMTCO2)]]*40</f>
        <v>0</v>
      </c>
      <c r="W766"/>
      <c r="X766"/>
      <c r="Y766"/>
      <c r="Z766" s="1"/>
      <c r="AA766" s="1"/>
    </row>
    <row r="767" spans="1:27" ht="27" hidden="1" customHeight="1">
      <c r="A767" t="s">
        <v>31</v>
      </c>
      <c r="B767" t="s">
        <v>28</v>
      </c>
      <c r="C767" t="s">
        <v>14</v>
      </c>
      <c r="D767" s="6">
        <v>9898218.6095844656</v>
      </c>
      <c r="E767" t="s">
        <v>47</v>
      </c>
      <c r="F767"/>
      <c r="G767"/>
      <c r="H767" t="s">
        <v>48</v>
      </c>
      <c r="I767"/>
      <c r="J767" s="28">
        <v>42064</v>
      </c>
      <c r="K767" t="s">
        <v>1482</v>
      </c>
      <c r="L767" t="s">
        <v>49</v>
      </c>
      <c r="M767"/>
      <c r="N767" t="s">
        <v>50</v>
      </c>
      <c r="O767" t="s">
        <v>51</v>
      </c>
      <c r="P767"/>
      <c r="Q767" t="s">
        <v>17</v>
      </c>
      <c r="R767" t="s">
        <v>18</v>
      </c>
      <c r="S767" t="s">
        <v>703</v>
      </c>
      <c r="T767"/>
      <c r="U767" s="2">
        <f>Table1[[#This Row],[Coal Power Plant Size (MW) or Share]]*0.593*9057*211.9*10^(-9)</f>
        <v>0</v>
      </c>
      <c r="V767" s="2">
        <f>Table1[[#This Row],[Annual Emissions (MMTCO2)]]*40</f>
        <v>0</v>
      </c>
      <c r="W767"/>
      <c r="X767"/>
      <c r="Y767"/>
      <c r="Z767" s="1"/>
      <c r="AA767" s="1"/>
    </row>
    <row r="768" spans="1:27" ht="27" hidden="1" customHeight="1">
      <c r="A768" t="s">
        <v>31</v>
      </c>
      <c r="B768" t="s">
        <v>373</v>
      </c>
      <c r="C768" t="s">
        <v>126</v>
      </c>
      <c r="D768" s="6">
        <v>75000000</v>
      </c>
      <c r="E768" t="s">
        <v>374</v>
      </c>
      <c r="F768" t="s">
        <v>1270</v>
      </c>
      <c r="G768" t="s">
        <v>1266</v>
      </c>
      <c r="H768" t="s">
        <v>195</v>
      </c>
      <c r="I768" t="s">
        <v>196</v>
      </c>
      <c r="J768" s="28">
        <v>42213</v>
      </c>
      <c r="K768" t="s">
        <v>1482</v>
      </c>
      <c r="L768" t="s">
        <v>197</v>
      </c>
      <c r="M768"/>
      <c r="N768" t="s">
        <v>760</v>
      </c>
      <c r="O768"/>
      <c r="P768"/>
      <c r="Q768" t="s">
        <v>17</v>
      </c>
      <c r="R768" t="s">
        <v>18</v>
      </c>
      <c r="S768" t="s">
        <v>703</v>
      </c>
      <c r="T768">
        <f>300/5</f>
        <v>60</v>
      </c>
      <c r="U768" s="2">
        <f>Table1[[#This Row],[Coal Power Plant Size (MW) or Share]]*0.593*9057*211.9*10^(-9)</f>
        <v>6.8284363914000015E-2</v>
      </c>
      <c r="V768" s="2">
        <f>Table1[[#This Row],[Annual Emissions (MMTCO2)]]*40</f>
        <v>2.7313745565600005</v>
      </c>
      <c r="W768"/>
      <c r="X768"/>
      <c r="Y768"/>
      <c r="Z768" s="1"/>
      <c r="AA768" s="1"/>
    </row>
    <row r="769" spans="1:27" ht="27" hidden="1" customHeight="1">
      <c r="A769" t="s">
        <v>31</v>
      </c>
      <c r="B769" t="s">
        <v>375</v>
      </c>
      <c r="C769" t="s">
        <v>126</v>
      </c>
      <c r="D769" s="6">
        <v>75000000</v>
      </c>
      <c r="E769" t="s">
        <v>374</v>
      </c>
      <c r="F769" t="s">
        <v>1270</v>
      </c>
      <c r="G769" t="s">
        <v>1266</v>
      </c>
      <c r="H769" t="s">
        <v>195</v>
      </c>
      <c r="I769" t="s">
        <v>196</v>
      </c>
      <c r="J769" s="28">
        <v>42213</v>
      </c>
      <c r="K769" t="s">
        <v>1482</v>
      </c>
      <c r="L769" t="s">
        <v>197</v>
      </c>
      <c r="M769"/>
      <c r="N769" t="s">
        <v>760</v>
      </c>
      <c r="O769"/>
      <c r="P769"/>
      <c r="Q769" t="s">
        <v>17</v>
      </c>
      <c r="R769" t="s">
        <v>18</v>
      </c>
      <c r="S769" t="s">
        <v>703</v>
      </c>
      <c r="T769">
        <f>300/5</f>
        <v>60</v>
      </c>
      <c r="U769" s="2">
        <f>Table1[[#This Row],[Coal Power Plant Size (MW) or Share]]*0.593*9057*211.9*10^(-9)</f>
        <v>6.8284363914000015E-2</v>
      </c>
      <c r="V769" s="2">
        <f>Table1[[#This Row],[Annual Emissions (MMTCO2)]]*40</f>
        <v>2.7313745565600005</v>
      </c>
      <c r="W769"/>
      <c r="X769"/>
      <c r="Y769"/>
      <c r="Z769" s="1"/>
      <c r="AA769" s="1"/>
    </row>
    <row r="770" spans="1:27" ht="27" hidden="1" customHeight="1">
      <c r="A770" t="s">
        <v>31</v>
      </c>
      <c r="B770" t="s">
        <v>373</v>
      </c>
      <c r="C770" t="s">
        <v>126</v>
      </c>
      <c r="D770" s="6"/>
      <c r="E770" t="s">
        <v>770</v>
      </c>
      <c r="F770"/>
      <c r="G770"/>
      <c r="H770" t="s">
        <v>769</v>
      </c>
      <c r="I770" t="s">
        <v>740</v>
      </c>
      <c r="J770" s="28">
        <v>54789</v>
      </c>
      <c r="K770" t="s">
        <v>1482</v>
      </c>
      <c r="L770" t="s">
        <v>31</v>
      </c>
      <c r="M770"/>
      <c r="N770" t="s">
        <v>768</v>
      </c>
      <c r="O770"/>
      <c r="P770"/>
      <c r="Q770" t="s">
        <v>17</v>
      </c>
      <c r="R770" t="s">
        <v>18</v>
      </c>
      <c r="S770" t="s">
        <v>476</v>
      </c>
      <c r="T770">
        <f>306/2</f>
        <v>153</v>
      </c>
      <c r="U770" s="2">
        <f>Table1[[#This Row],[Coal Power Plant Size (MW) or Share]]*0.593*9057*211.9*10^(-9)</f>
        <v>0.17412512798069998</v>
      </c>
      <c r="V770" s="2">
        <f>Table1[[#This Row],[Annual Emissions (MMTCO2)]]*40</f>
        <v>6.9650051192279996</v>
      </c>
      <c r="W770"/>
      <c r="X770"/>
      <c r="Y770"/>
      <c r="Z770" s="1"/>
      <c r="AA770" s="1"/>
    </row>
    <row r="771" spans="1:27" ht="27" hidden="1" customHeight="1">
      <c r="A771" t="s">
        <v>31</v>
      </c>
      <c r="B771" t="s">
        <v>375</v>
      </c>
      <c r="C771" t="s">
        <v>126</v>
      </c>
      <c r="D771" s="6"/>
      <c r="E771" t="s">
        <v>770</v>
      </c>
      <c r="F771"/>
      <c r="G771"/>
      <c r="H771" t="s">
        <v>769</v>
      </c>
      <c r="I771" t="s">
        <v>740</v>
      </c>
      <c r="J771" s="28">
        <v>54789</v>
      </c>
      <c r="K771" t="s">
        <v>1482</v>
      </c>
      <c r="L771" t="s">
        <v>31</v>
      </c>
      <c r="M771"/>
      <c r="N771" t="s">
        <v>768</v>
      </c>
      <c r="O771"/>
      <c r="P771"/>
      <c r="Q771" t="s">
        <v>17</v>
      </c>
      <c r="R771" t="s">
        <v>18</v>
      </c>
      <c r="S771" t="s">
        <v>476</v>
      </c>
      <c r="T771">
        <f>306/2</f>
        <v>153</v>
      </c>
      <c r="U771" s="2">
        <f>Table1[[#This Row],[Coal Power Plant Size (MW) or Share]]*0.593*9057*211.9*10^(-9)</f>
        <v>0.17412512798069998</v>
      </c>
      <c r="V771" s="2">
        <f>Table1[[#This Row],[Annual Emissions (MMTCO2)]]*40</f>
        <v>6.9650051192279996</v>
      </c>
      <c r="W771"/>
      <c r="X771"/>
      <c r="Y771"/>
      <c r="Z771" s="1"/>
      <c r="AA771" s="1"/>
    </row>
    <row r="772" spans="1:27" ht="27" hidden="1" customHeight="1">
      <c r="A772" t="s">
        <v>31</v>
      </c>
      <c r="B772" t="s">
        <v>373</v>
      </c>
      <c r="C772" t="s">
        <v>126</v>
      </c>
      <c r="D772" s="6"/>
      <c r="E772" t="s">
        <v>766</v>
      </c>
      <c r="F772"/>
      <c r="G772"/>
      <c r="H772" t="s">
        <v>767</v>
      </c>
      <c r="I772" t="s">
        <v>739</v>
      </c>
      <c r="J772" s="28">
        <v>54789</v>
      </c>
      <c r="K772" t="s">
        <v>1482</v>
      </c>
      <c r="L772" t="s">
        <v>31</v>
      </c>
      <c r="M772"/>
      <c r="N772" t="s">
        <v>1170</v>
      </c>
      <c r="O772" t="s">
        <v>1171</v>
      </c>
      <c r="P772" t="s">
        <v>1172</v>
      </c>
      <c r="Q772" t="s">
        <v>17</v>
      </c>
      <c r="R772" t="s">
        <v>18</v>
      </c>
      <c r="S772" t="s">
        <v>476</v>
      </c>
      <c r="T772">
        <f>557.3/2</f>
        <v>278.64999999999998</v>
      </c>
      <c r="U772" s="2">
        <f>Table1[[#This Row],[Coal Power Plant Size (MW) or Share]]*0.593*9057*211.9*10^(-9)</f>
        <v>0.31712396674393495</v>
      </c>
      <c r="V772" s="2">
        <f>Table1[[#This Row],[Annual Emissions (MMTCO2)]]*40</f>
        <v>12.684958669757398</v>
      </c>
      <c r="W772"/>
      <c r="X772"/>
      <c r="Y772"/>
      <c r="Z772" s="1"/>
      <c r="AA772" s="1"/>
    </row>
    <row r="773" spans="1:27" ht="27" hidden="1" customHeight="1">
      <c r="A773" t="s">
        <v>31</v>
      </c>
      <c r="B773" t="s">
        <v>375</v>
      </c>
      <c r="C773" t="s">
        <v>126</v>
      </c>
      <c r="D773" s="6"/>
      <c r="E773" t="s">
        <v>766</v>
      </c>
      <c r="F773"/>
      <c r="G773"/>
      <c r="H773" t="s">
        <v>767</v>
      </c>
      <c r="I773" t="s">
        <v>739</v>
      </c>
      <c r="J773" s="28">
        <v>54789</v>
      </c>
      <c r="K773" t="s">
        <v>1482</v>
      </c>
      <c r="L773" t="s">
        <v>31</v>
      </c>
      <c r="M773"/>
      <c r="N773" t="s">
        <v>1170</v>
      </c>
      <c r="O773" t="s">
        <v>1171</v>
      </c>
      <c r="P773" t="s">
        <v>1172</v>
      </c>
      <c r="Q773" t="s">
        <v>17</v>
      </c>
      <c r="R773" t="s">
        <v>18</v>
      </c>
      <c r="S773" t="s">
        <v>476</v>
      </c>
      <c r="T773">
        <f>557.3/2</f>
        <v>278.64999999999998</v>
      </c>
      <c r="U773" s="2">
        <f>Table1[[#This Row],[Coal Power Plant Size (MW) or Share]]*0.593*9057*211.9*10^(-9)</f>
        <v>0.31712396674393495</v>
      </c>
      <c r="V773" s="2">
        <f>Table1[[#This Row],[Annual Emissions (MMTCO2)]]*40</f>
        <v>12.684958669757398</v>
      </c>
      <c r="W773"/>
      <c r="X773"/>
      <c r="Y773"/>
      <c r="Z773" s="1"/>
      <c r="AA773" s="1"/>
    </row>
    <row r="774" spans="1:27" ht="27" hidden="1" customHeight="1">
      <c r="A774" t="s">
        <v>31</v>
      </c>
      <c r="B774" t="s">
        <v>28</v>
      </c>
      <c r="C774" t="s">
        <v>14</v>
      </c>
      <c r="D774" s="6">
        <v>55677479.678912617</v>
      </c>
      <c r="E774" t="s">
        <v>30</v>
      </c>
      <c r="F774"/>
      <c r="G774"/>
      <c r="H774" t="s">
        <v>52</v>
      </c>
      <c r="I774" t="s">
        <v>53</v>
      </c>
      <c r="J774" s="28">
        <v>42359</v>
      </c>
      <c r="K774" t="s">
        <v>1482</v>
      </c>
      <c r="L774" t="s">
        <v>31</v>
      </c>
      <c r="M774"/>
      <c r="N774" t="s">
        <v>56</v>
      </c>
      <c r="O774" t="s">
        <v>57</v>
      </c>
      <c r="P774"/>
      <c r="Q774" t="s">
        <v>54</v>
      </c>
      <c r="R774" t="s">
        <v>55</v>
      </c>
      <c r="S774" t="s">
        <v>703</v>
      </c>
      <c r="T774"/>
      <c r="U774" s="2">
        <f>Table1[[#This Row],[Coal Power Plant Size (MW) or Share]]*0.593*9057*211.9*10^(-9)</f>
        <v>0</v>
      </c>
      <c r="V774" s="2">
        <f>Table1[[#This Row],[Annual Emissions (MMTCO2)]]*40</f>
        <v>0</v>
      </c>
      <c r="W774"/>
      <c r="X774"/>
      <c r="Y774"/>
      <c r="Z774" s="1"/>
      <c r="AA774" s="1"/>
    </row>
    <row r="775" spans="1:27" ht="27" hidden="1" customHeight="1">
      <c r="A775" t="s">
        <v>31</v>
      </c>
      <c r="B775" t="s">
        <v>556</v>
      </c>
      <c r="C775" t="s">
        <v>1465</v>
      </c>
      <c r="D775" s="6"/>
      <c r="E775" t="s">
        <v>1099</v>
      </c>
      <c r="F775"/>
      <c r="G775"/>
      <c r="H775" t="s">
        <v>557</v>
      </c>
      <c r="I775" t="s">
        <v>558</v>
      </c>
      <c r="J775" s="28">
        <v>54789</v>
      </c>
      <c r="K775" t="s">
        <v>1482</v>
      </c>
      <c r="L775" t="s">
        <v>190</v>
      </c>
      <c r="M775"/>
      <c r="N775"/>
      <c r="O775"/>
      <c r="P775"/>
      <c r="Q775" t="s">
        <v>54</v>
      </c>
      <c r="R775" t="s">
        <v>418</v>
      </c>
      <c r="S775" t="s">
        <v>476</v>
      </c>
      <c r="T775">
        <v>0</v>
      </c>
      <c r="U775" s="2">
        <f>Table1[[#This Row],[Coal Power Plant Size (MW) or Share]]*0.593*9057*211.9*10^(-9)</f>
        <v>0</v>
      </c>
      <c r="V775" s="2">
        <f>Table1[[#This Row],[Annual Emissions (MMTCO2)]]*40</f>
        <v>0</v>
      </c>
      <c r="W775"/>
      <c r="X775"/>
      <c r="Y775"/>
      <c r="Z775" s="1"/>
      <c r="AA775" s="1"/>
    </row>
    <row r="776" spans="1:27" ht="27" hidden="1" customHeight="1">
      <c r="A776" t="s">
        <v>31</v>
      </c>
      <c r="B776" t="s">
        <v>375</v>
      </c>
      <c r="C776" t="s">
        <v>126</v>
      </c>
      <c r="D776" s="6">
        <v>21310000</v>
      </c>
      <c r="E776"/>
      <c r="F776"/>
      <c r="G776"/>
      <c r="H776" t="s">
        <v>1568</v>
      </c>
      <c r="I776" t="s">
        <v>1807</v>
      </c>
      <c r="J776" s="28">
        <v>41437</v>
      </c>
      <c r="K776" t="s">
        <v>1482</v>
      </c>
      <c r="L776" t="s">
        <v>31</v>
      </c>
      <c r="M776"/>
      <c r="N776"/>
      <c r="O776"/>
      <c r="P776"/>
      <c r="Q776" t="s">
        <v>634</v>
      </c>
      <c r="R776" t="s">
        <v>640</v>
      </c>
      <c r="S776" t="s">
        <v>703</v>
      </c>
      <c r="T776">
        <v>12.57</v>
      </c>
      <c r="U776" s="2">
        <f>Table1[[#This Row],[Coal Power Plant Size (MW) or Share]]*0.593*9057*211.9*10^(-9)</f>
        <v>1.4305574239983E-2</v>
      </c>
      <c r="V776" s="2">
        <f>Table1[[#This Row],[Annual Emissions (MMTCO2)]]*40</f>
        <v>0.57222296959931995</v>
      </c>
      <c r="W776"/>
      <c r="X776">
        <v>12.57</v>
      </c>
      <c r="Y776"/>
      <c r="Z776" s="1"/>
      <c r="AA776" s="1"/>
    </row>
    <row r="777" spans="1:27" ht="27" hidden="1" customHeight="1">
      <c r="A777" t="s">
        <v>31</v>
      </c>
      <c r="B777" t="s">
        <v>375</v>
      </c>
      <c r="C777" t="s">
        <v>126</v>
      </c>
      <c r="D777" s="6">
        <v>12830000</v>
      </c>
      <c r="E777"/>
      <c r="F777"/>
      <c r="G777"/>
      <c r="H777" t="s">
        <v>1519</v>
      </c>
      <c r="I777" t="s">
        <v>1782</v>
      </c>
      <c r="J777" s="28">
        <v>41451</v>
      </c>
      <c r="K777" t="s">
        <v>1482</v>
      </c>
      <c r="L777" t="s">
        <v>31</v>
      </c>
      <c r="M777"/>
      <c r="N777"/>
      <c r="O777"/>
      <c r="P777"/>
      <c r="Q777" t="s">
        <v>634</v>
      </c>
      <c r="R777" t="s">
        <v>636</v>
      </c>
      <c r="S777" t="s">
        <v>703</v>
      </c>
      <c r="T777">
        <v>21</v>
      </c>
      <c r="U777" s="2">
        <f>Table1[[#This Row],[Coal Power Plant Size (MW) or Share]]*0.593*9057*211.9*10^(-9)</f>
        <v>2.38995273699E-2</v>
      </c>
      <c r="V777" s="2">
        <f>Table1[[#This Row],[Annual Emissions (MMTCO2)]]*40</f>
        <v>0.95598109479600002</v>
      </c>
      <c r="W777"/>
      <c r="X777">
        <v>21</v>
      </c>
      <c r="Y777"/>
      <c r="Z777" s="1"/>
      <c r="AA777" s="1"/>
    </row>
    <row r="778" spans="1:27" ht="27" hidden="1" customHeight="1">
      <c r="A778" t="s">
        <v>31</v>
      </c>
      <c r="B778" t="s">
        <v>375</v>
      </c>
      <c r="C778" t="s">
        <v>126</v>
      </c>
      <c r="D778" s="6">
        <v>24760000</v>
      </c>
      <c r="E778"/>
      <c r="F778"/>
      <c r="G778"/>
      <c r="H778" t="s">
        <v>1711</v>
      </c>
      <c r="I778" t="s">
        <v>1781</v>
      </c>
      <c r="J778" s="28">
        <v>41459</v>
      </c>
      <c r="K778" t="s">
        <v>1482</v>
      </c>
      <c r="L778" t="s">
        <v>31</v>
      </c>
      <c r="M778"/>
      <c r="N778"/>
      <c r="O778"/>
      <c r="P778"/>
      <c r="Q778" t="s">
        <v>634</v>
      </c>
      <c r="R778" t="s">
        <v>636</v>
      </c>
      <c r="S778" t="s">
        <v>703</v>
      </c>
      <c r="T778">
        <v>24</v>
      </c>
      <c r="U778" s="2">
        <f>Table1[[#This Row],[Coal Power Plant Size (MW) or Share]]*0.593*9057*211.9*10^(-9)</f>
        <v>2.7313745565599998E-2</v>
      </c>
      <c r="V778" s="2">
        <f>Table1[[#This Row],[Annual Emissions (MMTCO2)]]*40</f>
        <v>1.092549822624</v>
      </c>
      <c r="W778"/>
      <c r="X778">
        <v>24</v>
      </c>
      <c r="Y778"/>
      <c r="Z778" s="1"/>
      <c r="AA778" s="1"/>
    </row>
    <row r="779" spans="1:27" ht="27" hidden="1" customHeight="1">
      <c r="A779" t="s">
        <v>31</v>
      </c>
      <c r="B779" t="s">
        <v>375</v>
      </c>
      <c r="C779" t="s">
        <v>126</v>
      </c>
      <c r="D779" s="6">
        <v>38140000</v>
      </c>
      <c r="E779"/>
      <c r="F779"/>
      <c r="G779"/>
      <c r="H779" t="s">
        <v>1547</v>
      </c>
      <c r="I779" t="s">
        <v>1780</v>
      </c>
      <c r="J779" s="28">
        <v>41460</v>
      </c>
      <c r="K779" t="s">
        <v>1482</v>
      </c>
      <c r="L779" t="s">
        <v>31</v>
      </c>
      <c r="M779"/>
      <c r="N779"/>
      <c r="O779"/>
      <c r="P779"/>
      <c r="Q779" t="s">
        <v>634</v>
      </c>
      <c r="R779" t="s">
        <v>636</v>
      </c>
      <c r="S779" t="s">
        <v>703</v>
      </c>
      <c r="T779">
        <v>61.5</v>
      </c>
      <c r="U779" s="2">
        <f>Table1[[#This Row],[Coal Power Plant Size (MW) or Share]]*0.593*9057*211.9*10^(-9)</f>
        <v>6.9991473011850006E-2</v>
      </c>
      <c r="V779" s="2">
        <f>Table1[[#This Row],[Annual Emissions (MMTCO2)]]*40</f>
        <v>2.7996589204740001</v>
      </c>
      <c r="W779"/>
      <c r="X779">
        <v>61.5</v>
      </c>
      <c r="Y779"/>
      <c r="Z779" s="1"/>
      <c r="AA779" s="1"/>
    </row>
    <row r="780" spans="1:27" ht="27" hidden="1" customHeight="1">
      <c r="A780" t="s">
        <v>31</v>
      </c>
      <c r="B780" t="s">
        <v>375</v>
      </c>
      <c r="C780" t="s">
        <v>126</v>
      </c>
      <c r="D780" s="6">
        <v>67220000</v>
      </c>
      <c r="E780"/>
      <c r="F780"/>
      <c r="G780"/>
      <c r="H780" t="s">
        <v>1523</v>
      </c>
      <c r="I780" t="s">
        <v>1845</v>
      </c>
      <c r="J780" s="28">
        <v>42041</v>
      </c>
      <c r="K780" t="s">
        <v>1482</v>
      </c>
      <c r="L780" t="s">
        <v>31</v>
      </c>
      <c r="M780"/>
      <c r="N780"/>
      <c r="O780"/>
      <c r="P780"/>
      <c r="Q780" t="s">
        <v>634</v>
      </c>
      <c r="R780" t="s">
        <v>636</v>
      </c>
      <c r="S780" t="s">
        <v>703</v>
      </c>
      <c r="T780">
        <v>96.48</v>
      </c>
      <c r="U780" s="2">
        <f>Table1[[#This Row],[Coal Power Plant Size (MW) or Share]]*0.593*9057*211.9*10^(-9)</f>
        <v>0.109801257173712</v>
      </c>
      <c r="V780" s="2">
        <f>Table1[[#This Row],[Annual Emissions (MMTCO2)]]*40</f>
        <v>4.3920502869484803</v>
      </c>
      <c r="W780"/>
      <c r="X780">
        <v>96.48</v>
      </c>
      <c r="Y780"/>
      <c r="Z780" s="1"/>
      <c r="AA780" s="1"/>
    </row>
    <row r="781" spans="1:27" ht="27" hidden="1" customHeight="1">
      <c r="A781" t="s">
        <v>31</v>
      </c>
      <c r="B781" t="s">
        <v>375</v>
      </c>
      <c r="C781" t="s">
        <v>126</v>
      </c>
      <c r="D781" s="6">
        <v>94210000</v>
      </c>
      <c r="E781"/>
      <c r="F781"/>
      <c r="G781"/>
      <c r="H781" t="s">
        <v>1524</v>
      </c>
      <c r="I781" t="s">
        <v>1844</v>
      </c>
      <c r="J781" s="28">
        <v>42041</v>
      </c>
      <c r="K781" t="s">
        <v>1482</v>
      </c>
      <c r="L781" t="s">
        <v>31</v>
      </c>
      <c r="M781"/>
      <c r="N781"/>
      <c r="O781"/>
      <c r="P781"/>
      <c r="Q781" t="s">
        <v>634</v>
      </c>
      <c r="R781" t="s">
        <v>636</v>
      </c>
      <c r="S781" t="s">
        <v>703</v>
      </c>
      <c r="T781">
        <v>138.96</v>
      </c>
      <c r="U781" s="2">
        <f>Table1[[#This Row],[Coal Power Plant Size (MW) or Share]]*0.593*9057*211.9*10^(-9)</f>
        <v>0.15814658682482399</v>
      </c>
      <c r="V781" s="2">
        <f>Table1[[#This Row],[Annual Emissions (MMTCO2)]]*40</f>
        <v>6.3258634729929595</v>
      </c>
      <c r="W781"/>
      <c r="X781">
        <v>138.96</v>
      </c>
      <c r="Y781"/>
      <c r="Z781" s="1"/>
      <c r="AA781" s="1"/>
    </row>
    <row r="782" spans="1:27" ht="27" hidden="1" customHeight="1">
      <c r="A782" t="s">
        <v>31</v>
      </c>
      <c r="B782" t="s">
        <v>373</v>
      </c>
      <c r="C782" t="s">
        <v>126</v>
      </c>
      <c r="D782" s="6">
        <v>206480000</v>
      </c>
      <c r="E782"/>
      <c r="F782"/>
      <c r="G782"/>
      <c r="H782" t="s">
        <v>1625</v>
      </c>
      <c r="I782" t="s">
        <v>1794</v>
      </c>
      <c r="J782" s="28">
        <v>42049</v>
      </c>
      <c r="K782" t="s">
        <v>1482</v>
      </c>
      <c r="L782" t="s">
        <v>31</v>
      </c>
      <c r="M782"/>
      <c r="N782"/>
      <c r="O782"/>
      <c r="P782"/>
      <c r="Q782" t="s">
        <v>634</v>
      </c>
      <c r="R782" t="s">
        <v>636</v>
      </c>
      <c r="S782" t="s">
        <v>703</v>
      </c>
      <c r="T782">
        <v>360</v>
      </c>
      <c r="U782" s="2">
        <f>Table1[[#This Row],[Coal Power Plant Size (MW) or Share]]*0.593*9057*211.9*10^(-9)</f>
        <v>0.40970618348400001</v>
      </c>
      <c r="V782" s="2">
        <f>Table1[[#This Row],[Annual Emissions (MMTCO2)]]*40</f>
        <v>16.388247339359999</v>
      </c>
      <c r="W782"/>
      <c r="X782">
        <v>360</v>
      </c>
      <c r="Y782"/>
      <c r="Z782" s="1"/>
      <c r="AA782" s="1"/>
    </row>
    <row r="783" spans="1:27" ht="27" hidden="1" customHeight="1">
      <c r="A783" t="s">
        <v>31</v>
      </c>
      <c r="B783" t="s">
        <v>373</v>
      </c>
      <c r="C783" t="s">
        <v>126</v>
      </c>
      <c r="D783" s="6">
        <v>54130000</v>
      </c>
      <c r="E783"/>
      <c r="F783"/>
      <c r="G783"/>
      <c r="H783" t="s">
        <v>1560</v>
      </c>
      <c r="I783" t="s">
        <v>1882</v>
      </c>
      <c r="J783" s="28">
        <v>42060</v>
      </c>
      <c r="K783" t="s">
        <v>1482</v>
      </c>
      <c r="L783" t="s">
        <v>31</v>
      </c>
      <c r="M783"/>
      <c r="N783"/>
      <c r="O783"/>
      <c r="P783"/>
      <c r="Q783" t="s">
        <v>634</v>
      </c>
      <c r="R783" t="s">
        <v>1474</v>
      </c>
      <c r="S783" t="s">
        <v>703</v>
      </c>
      <c r="T783">
        <f>100/6</f>
        <v>16.666666666666668</v>
      </c>
      <c r="U783" s="2">
        <f>Table1[[#This Row],[Coal Power Plant Size (MW) or Share]]*0.593*9057*211.9*10^(-9)</f>
        <v>1.8967878864999999E-2</v>
      </c>
      <c r="V783" s="2">
        <f>Table1[[#This Row],[Annual Emissions (MMTCO2)]]*40</f>
        <v>0.75871515459999994</v>
      </c>
      <c r="W783"/>
      <c r="X783">
        <f>100/6</f>
        <v>16.666666666666668</v>
      </c>
      <c r="Y783"/>
      <c r="Z783" s="1"/>
      <c r="AA783" s="1"/>
    </row>
    <row r="784" spans="1:27" ht="27" hidden="1" customHeight="1">
      <c r="A784" t="s">
        <v>31</v>
      </c>
      <c r="B784" t="s">
        <v>373</v>
      </c>
      <c r="C784" t="s">
        <v>126</v>
      </c>
      <c r="D784" s="6">
        <v>3380000</v>
      </c>
      <c r="E784"/>
      <c r="F784"/>
      <c r="G784"/>
      <c r="H784" t="s">
        <v>1560</v>
      </c>
      <c r="I784" t="s">
        <v>1882</v>
      </c>
      <c r="J784" s="28">
        <v>42060</v>
      </c>
      <c r="K784" t="s">
        <v>1482</v>
      </c>
      <c r="L784" t="s">
        <v>31</v>
      </c>
      <c r="M784"/>
      <c r="N784"/>
      <c r="O784"/>
      <c r="P784"/>
      <c r="Q784" t="s">
        <v>634</v>
      </c>
      <c r="R784" t="s">
        <v>1474</v>
      </c>
      <c r="S784" t="s">
        <v>703</v>
      </c>
      <c r="T784">
        <f>100/6</f>
        <v>16.666666666666668</v>
      </c>
      <c r="U784" s="2">
        <f>Table1[[#This Row],[Coal Power Plant Size (MW) or Share]]*0.593*9057*211.9*10^(-9)</f>
        <v>1.8967878864999999E-2</v>
      </c>
      <c r="V784" s="2">
        <f>Table1[[#This Row],[Annual Emissions (MMTCO2)]]*40</f>
        <v>0.75871515459999994</v>
      </c>
      <c r="W784"/>
      <c r="X784">
        <f>100/6</f>
        <v>16.666666666666668</v>
      </c>
      <c r="Y784"/>
      <c r="Z784" s="1"/>
      <c r="AA784" s="1"/>
    </row>
    <row r="785" spans="1:27" ht="27" hidden="1" customHeight="1">
      <c r="A785" t="s">
        <v>31</v>
      </c>
      <c r="B785" t="s">
        <v>373</v>
      </c>
      <c r="C785" t="s">
        <v>126</v>
      </c>
      <c r="D785" s="6">
        <v>1300000</v>
      </c>
      <c r="E785"/>
      <c r="F785"/>
      <c r="G785"/>
      <c r="H785" t="s">
        <v>1560</v>
      </c>
      <c r="I785" t="s">
        <v>1882</v>
      </c>
      <c r="J785" s="28">
        <v>42060</v>
      </c>
      <c r="K785" t="s">
        <v>1482</v>
      </c>
      <c r="L785" t="s">
        <v>31</v>
      </c>
      <c r="M785"/>
      <c r="N785"/>
      <c r="O785"/>
      <c r="P785"/>
      <c r="Q785" t="s">
        <v>634</v>
      </c>
      <c r="R785" t="s">
        <v>1474</v>
      </c>
      <c r="S785" t="s">
        <v>703</v>
      </c>
      <c r="T785">
        <f>100/6</f>
        <v>16.666666666666668</v>
      </c>
      <c r="U785" s="2">
        <f>Table1[[#This Row],[Coal Power Plant Size (MW) or Share]]*0.593*9057*211.9*10^(-9)</f>
        <v>1.8967878864999999E-2</v>
      </c>
      <c r="V785" s="2">
        <f>Table1[[#This Row],[Annual Emissions (MMTCO2)]]*40</f>
        <v>0.75871515459999994</v>
      </c>
      <c r="W785"/>
      <c r="X785">
        <f>100/6</f>
        <v>16.666666666666668</v>
      </c>
      <c r="Y785"/>
      <c r="Z785" s="1"/>
      <c r="AA785" s="1"/>
    </row>
    <row r="786" spans="1:27" ht="27" hidden="1" customHeight="1">
      <c r="A786" t="s">
        <v>31</v>
      </c>
      <c r="B786" t="s">
        <v>375</v>
      </c>
      <c r="C786" t="s">
        <v>126</v>
      </c>
      <c r="D786" s="6">
        <v>54130000</v>
      </c>
      <c r="E786"/>
      <c r="F786"/>
      <c r="G786"/>
      <c r="H786" t="s">
        <v>1560</v>
      </c>
      <c r="I786" t="s">
        <v>1882</v>
      </c>
      <c r="J786" s="28">
        <v>42060</v>
      </c>
      <c r="K786" t="s">
        <v>1482</v>
      </c>
      <c r="L786" t="s">
        <v>31</v>
      </c>
      <c r="M786"/>
      <c r="N786"/>
      <c r="O786"/>
      <c r="P786"/>
      <c r="Q786" t="s">
        <v>634</v>
      </c>
      <c r="R786" t="s">
        <v>1474</v>
      </c>
      <c r="S786" t="s">
        <v>703</v>
      </c>
      <c r="T786">
        <f>100/6</f>
        <v>16.666666666666668</v>
      </c>
      <c r="U786" s="2">
        <f>Table1[[#This Row],[Coal Power Plant Size (MW) or Share]]*0.593*9057*211.9*10^(-9)</f>
        <v>1.8967878864999999E-2</v>
      </c>
      <c r="V786" s="2">
        <f>Table1[[#This Row],[Annual Emissions (MMTCO2)]]*40</f>
        <v>0.75871515459999994</v>
      </c>
      <c r="W786"/>
      <c r="X786">
        <f>100/6</f>
        <v>16.666666666666668</v>
      </c>
      <c r="Y786"/>
      <c r="Z786" s="1"/>
      <c r="AA786" s="1"/>
    </row>
    <row r="787" spans="1:27" ht="27" hidden="1" customHeight="1">
      <c r="A787" t="s">
        <v>31</v>
      </c>
      <c r="B787" t="s">
        <v>375</v>
      </c>
      <c r="C787" t="s">
        <v>126</v>
      </c>
      <c r="D787" s="6">
        <v>3380000</v>
      </c>
      <c r="E787"/>
      <c r="F787"/>
      <c r="G787"/>
      <c r="H787" t="s">
        <v>1560</v>
      </c>
      <c r="I787" t="s">
        <v>1882</v>
      </c>
      <c r="J787" s="28">
        <v>42060</v>
      </c>
      <c r="K787" t="s">
        <v>1482</v>
      </c>
      <c r="L787" t="s">
        <v>31</v>
      </c>
      <c r="M787"/>
      <c r="N787"/>
      <c r="O787"/>
      <c r="P787"/>
      <c r="Q787" t="s">
        <v>634</v>
      </c>
      <c r="R787" t="s">
        <v>1474</v>
      </c>
      <c r="S787" t="s">
        <v>703</v>
      </c>
      <c r="T787">
        <f>100/6</f>
        <v>16.666666666666668</v>
      </c>
      <c r="U787" s="2">
        <f>Table1[[#This Row],[Coal Power Plant Size (MW) or Share]]*0.593*9057*211.9*10^(-9)</f>
        <v>1.8967878864999999E-2</v>
      </c>
      <c r="V787" s="2">
        <f>Table1[[#This Row],[Annual Emissions (MMTCO2)]]*40</f>
        <v>0.75871515459999994</v>
      </c>
      <c r="W787"/>
      <c r="X787">
        <f>100/6</f>
        <v>16.666666666666668</v>
      </c>
      <c r="Y787"/>
      <c r="Z787" s="1"/>
      <c r="AA787" s="1"/>
    </row>
    <row r="788" spans="1:27" ht="27" hidden="1" customHeight="1">
      <c r="A788" t="s">
        <v>31</v>
      </c>
      <c r="B788" t="s">
        <v>375</v>
      </c>
      <c r="C788" t="s">
        <v>126</v>
      </c>
      <c r="D788" s="6">
        <v>1300000</v>
      </c>
      <c r="E788"/>
      <c r="F788"/>
      <c r="G788"/>
      <c r="H788" t="s">
        <v>1560</v>
      </c>
      <c r="I788" t="s">
        <v>1882</v>
      </c>
      <c r="J788" s="28">
        <v>42060</v>
      </c>
      <c r="K788" t="s">
        <v>1482</v>
      </c>
      <c r="L788" t="s">
        <v>31</v>
      </c>
      <c r="M788"/>
      <c r="N788"/>
      <c r="O788"/>
      <c r="P788"/>
      <c r="Q788" t="s">
        <v>634</v>
      </c>
      <c r="R788" t="s">
        <v>1474</v>
      </c>
      <c r="S788" t="s">
        <v>703</v>
      </c>
      <c r="T788">
        <f>100/6</f>
        <v>16.666666666666668</v>
      </c>
      <c r="U788" s="2">
        <f>Table1[[#This Row],[Coal Power Plant Size (MW) or Share]]*0.593*9057*211.9*10^(-9)</f>
        <v>1.8967878864999999E-2</v>
      </c>
      <c r="V788" s="2">
        <f>Table1[[#This Row],[Annual Emissions (MMTCO2)]]*40</f>
        <v>0.75871515459999994</v>
      </c>
      <c r="W788"/>
      <c r="X788">
        <f>100/6</f>
        <v>16.666666666666668</v>
      </c>
      <c r="Y788"/>
      <c r="Z788" s="1"/>
      <c r="AA788" s="1"/>
    </row>
    <row r="789" spans="1:27" ht="27" hidden="1" customHeight="1">
      <c r="A789" t="s">
        <v>31</v>
      </c>
      <c r="B789" t="s">
        <v>373</v>
      </c>
      <c r="C789" t="s">
        <v>126</v>
      </c>
      <c r="D789" s="6">
        <v>50030000</v>
      </c>
      <c r="E789"/>
      <c r="F789"/>
      <c r="G789"/>
      <c r="H789" t="s">
        <v>1717</v>
      </c>
      <c r="I789" t="s">
        <v>1820</v>
      </c>
      <c r="J789" s="28">
        <v>42076</v>
      </c>
      <c r="K789" t="s">
        <v>1482</v>
      </c>
      <c r="L789" t="s">
        <v>31</v>
      </c>
      <c r="M789"/>
      <c r="N789"/>
      <c r="O789"/>
      <c r="P789"/>
      <c r="Q789" t="s">
        <v>634</v>
      </c>
      <c r="R789" t="s">
        <v>1474</v>
      </c>
      <c r="S789" t="s">
        <v>703</v>
      </c>
      <c r="T789">
        <f>100/5</f>
        <v>20</v>
      </c>
      <c r="U789" s="2">
        <f>Table1[[#This Row],[Coal Power Plant Size (MW) or Share]]*0.593*9057*211.9*10^(-9)</f>
        <v>2.2761454637999997E-2</v>
      </c>
      <c r="V789" s="2">
        <f>Table1[[#This Row],[Annual Emissions (MMTCO2)]]*40</f>
        <v>0.91045818551999991</v>
      </c>
      <c r="W789"/>
      <c r="X789">
        <f>100/5</f>
        <v>20</v>
      </c>
      <c r="Y789"/>
      <c r="Z789" s="1"/>
      <c r="AA789" s="1"/>
    </row>
    <row r="790" spans="1:27" ht="27" hidden="1" customHeight="1">
      <c r="A790" t="s">
        <v>31</v>
      </c>
      <c r="B790" t="s">
        <v>375</v>
      </c>
      <c r="C790" t="s">
        <v>126</v>
      </c>
      <c r="D790" s="6">
        <v>50030000</v>
      </c>
      <c r="E790"/>
      <c r="F790"/>
      <c r="G790"/>
      <c r="H790" t="s">
        <v>1717</v>
      </c>
      <c r="I790" t="s">
        <v>1820</v>
      </c>
      <c r="J790" s="28">
        <v>42076</v>
      </c>
      <c r="K790" t="s">
        <v>1482</v>
      </c>
      <c r="L790" t="s">
        <v>31</v>
      </c>
      <c r="M790"/>
      <c r="N790"/>
      <c r="O790"/>
      <c r="P790"/>
      <c r="Q790" t="s">
        <v>634</v>
      </c>
      <c r="R790" t="s">
        <v>1474</v>
      </c>
      <c r="S790" t="s">
        <v>703</v>
      </c>
      <c r="T790">
        <f>100/5</f>
        <v>20</v>
      </c>
      <c r="U790" s="2">
        <f>Table1[[#This Row],[Coal Power Plant Size (MW) or Share]]*0.593*9057*211.9*10^(-9)</f>
        <v>2.2761454637999997E-2</v>
      </c>
      <c r="V790" s="2">
        <f>Table1[[#This Row],[Annual Emissions (MMTCO2)]]*40</f>
        <v>0.91045818551999991</v>
      </c>
      <c r="W790"/>
      <c r="X790">
        <f>100/5</f>
        <v>20</v>
      </c>
      <c r="Y790"/>
      <c r="Z790" s="1"/>
      <c r="AA790" s="1"/>
    </row>
    <row r="791" spans="1:27" ht="27" hidden="1" customHeight="1">
      <c r="A791" t="s">
        <v>31</v>
      </c>
      <c r="B791" t="s">
        <v>373</v>
      </c>
      <c r="C791" t="s">
        <v>126</v>
      </c>
      <c r="D791" s="6">
        <v>122010000</v>
      </c>
      <c r="E791"/>
      <c r="F791"/>
      <c r="G791"/>
      <c r="H791" t="s">
        <v>1569</v>
      </c>
      <c r="I791" t="s">
        <v>1867</v>
      </c>
      <c r="J791" s="28">
        <v>42502</v>
      </c>
      <c r="K791" t="s">
        <v>1482</v>
      </c>
      <c r="L791" t="s">
        <v>31</v>
      </c>
      <c r="M791"/>
      <c r="N791"/>
      <c r="O791"/>
      <c r="P791"/>
      <c r="Q791" t="s">
        <v>634</v>
      </c>
      <c r="R791" t="s">
        <v>1474</v>
      </c>
      <c r="S791" t="s">
        <v>703</v>
      </c>
      <c r="T791">
        <v>100</v>
      </c>
      <c r="U791" s="2">
        <f>Table1[[#This Row],[Coal Power Plant Size (MW) or Share]]*0.593*9057*211.9*10^(-9)</f>
        <v>0.11380727319</v>
      </c>
      <c r="V791" s="2">
        <f>Table1[[#This Row],[Annual Emissions (MMTCO2)]]*40</f>
        <v>4.5522909275999996</v>
      </c>
      <c r="W791"/>
      <c r="X791">
        <v>100</v>
      </c>
      <c r="Y791"/>
      <c r="Z791" s="1"/>
      <c r="AA791" s="1"/>
    </row>
    <row r="792" spans="1:27" ht="27" hidden="1" customHeight="1">
      <c r="A792" t="s">
        <v>270</v>
      </c>
      <c r="B792" t="s">
        <v>376</v>
      </c>
      <c r="C792" t="s">
        <v>1465</v>
      </c>
      <c r="D792" s="6">
        <f>330000000+270000000</f>
        <v>600000000</v>
      </c>
      <c r="E792" t="s">
        <v>381</v>
      </c>
      <c r="F792"/>
      <c r="G792"/>
      <c r="H792" t="s">
        <v>382</v>
      </c>
      <c r="I792" t="s">
        <v>145</v>
      </c>
      <c r="J792" s="28">
        <v>41618</v>
      </c>
      <c r="K792" t="s">
        <v>991</v>
      </c>
      <c r="L792" t="s">
        <v>98</v>
      </c>
      <c r="M792" t="s">
        <v>1409</v>
      </c>
      <c r="N792" t="s">
        <v>383</v>
      </c>
      <c r="O792" t="s">
        <v>380</v>
      </c>
      <c r="P792"/>
      <c r="Q792" t="s">
        <v>17</v>
      </c>
      <c r="R792" t="s">
        <v>18</v>
      </c>
      <c r="S792" t="s">
        <v>703</v>
      </c>
      <c r="T792">
        <v>1200</v>
      </c>
      <c r="U792" s="2">
        <f>Table1[[#This Row],[Coal Power Plant Size (MW) or Share]]*0.593*9057*211.9*10^(-9)</f>
        <v>1.36568727828</v>
      </c>
      <c r="V792" s="2">
        <f>Table1[[#This Row],[Annual Emissions (MMTCO2)]]*40</f>
        <v>54.627491131200003</v>
      </c>
      <c r="W792"/>
      <c r="X792"/>
      <c r="Y792"/>
      <c r="Z792" s="1"/>
      <c r="AA792" s="1"/>
    </row>
    <row r="793" spans="1:27" ht="27" hidden="1" customHeight="1">
      <c r="A793" t="s">
        <v>270</v>
      </c>
      <c r="B793" t="s">
        <v>376</v>
      </c>
      <c r="C793" t="s">
        <v>1465</v>
      </c>
      <c r="D793" s="6">
        <v>455000000</v>
      </c>
      <c r="E793" t="s">
        <v>384</v>
      </c>
      <c r="F793" t="s">
        <v>1415</v>
      </c>
      <c r="G793" t="s">
        <v>1273</v>
      </c>
      <c r="H793" t="s">
        <v>385</v>
      </c>
      <c r="I793" t="s">
        <v>380</v>
      </c>
      <c r="J793" s="28">
        <v>41640</v>
      </c>
      <c r="K793" t="s">
        <v>991</v>
      </c>
      <c r="L793" t="s">
        <v>98</v>
      </c>
      <c r="M793" t="s">
        <v>954</v>
      </c>
      <c r="N793" t="s">
        <v>386</v>
      </c>
      <c r="O793" t="s">
        <v>387</v>
      </c>
      <c r="P793"/>
      <c r="Q793" t="s">
        <v>17</v>
      </c>
      <c r="R793" t="s">
        <v>18</v>
      </c>
      <c r="S793" t="s">
        <v>703</v>
      </c>
      <c r="T793">
        <v>600</v>
      </c>
      <c r="U793" s="2">
        <f>Table1[[#This Row],[Coal Power Plant Size (MW) or Share]]*0.593*9057*211.9*10^(-9)</f>
        <v>0.68284363914000001</v>
      </c>
      <c r="V793" s="2">
        <f>Table1[[#This Row],[Annual Emissions (MMTCO2)]]*40</f>
        <v>27.313745565600001</v>
      </c>
      <c r="W793"/>
      <c r="X793"/>
      <c r="Y793"/>
      <c r="Z793" s="1"/>
      <c r="AA793" s="1"/>
    </row>
    <row r="794" spans="1:27" ht="27" hidden="1" customHeight="1">
      <c r="A794" t="s">
        <v>270</v>
      </c>
      <c r="B794" t="s">
        <v>28</v>
      </c>
      <c r="C794" t="s">
        <v>14</v>
      </c>
      <c r="D794" s="6">
        <v>950334.18819987832</v>
      </c>
      <c r="E794" t="s">
        <v>47</v>
      </c>
      <c r="F794"/>
      <c r="G794"/>
      <c r="H794" t="s">
        <v>48</v>
      </c>
      <c r="I794"/>
      <c r="J794" s="28">
        <v>42064</v>
      </c>
      <c r="K794" t="s">
        <v>1482</v>
      </c>
      <c r="L794" t="s">
        <v>49</v>
      </c>
      <c r="M794"/>
      <c r="N794" t="s">
        <v>50</v>
      </c>
      <c r="O794" t="s">
        <v>51</v>
      </c>
      <c r="P794"/>
      <c r="Q794" t="s">
        <v>17</v>
      </c>
      <c r="R794" t="s">
        <v>18</v>
      </c>
      <c r="S794" t="s">
        <v>703</v>
      </c>
      <c r="T794"/>
      <c r="U794" s="2">
        <f>Table1[[#This Row],[Coal Power Plant Size (MW) or Share]]*0.593*9057*211.9*10^(-9)</f>
        <v>0</v>
      </c>
      <c r="V794" s="2">
        <f>Table1[[#This Row],[Annual Emissions (MMTCO2)]]*40</f>
        <v>0</v>
      </c>
      <c r="W794"/>
      <c r="X794"/>
      <c r="Y794"/>
      <c r="Z794" s="1"/>
      <c r="AA794" s="1"/>
    </row>
    <row r="795" spans="1:27" ht="27" hidden="1" customHeight="1">
      <c r="A795" t="s">
        <v>270</v>
      </c>
      <c r="B795" t="s">
        <v>379</v>
      </c>
      <c r="C795" t="s">
        <v>1465</v>
      </c>
      <c r="D795" s="6">
        <v>0</v>
      </c>
      <c r="E795" t="s">
        <v>1436</v>
      </c>
      <c r="F795" t="s">
        <v>1297</v>
      </c>
      <c r="G795"/>
      <c r="H795" t="s">
        <v>775</v>
      </c>
      <c r="I795" t="s">
        <v>774</v>
      </c>
      <c r="J795" s="28">
        <v>42615</v>
      </c>
      <c r="K795" t="s">
        <v>1451</v>
      </c>
      <c r="L795" t="s">
        <v>93</v>
      </c>
      <c r="M795" t="s">
        <v>1299</v>
      </c>
      <c r="N795"/>
      <c r="O795" t="s">
        <v>1169</v>
      </c>
      <c r="P795"/>
      <c r="Q795" t="s">
        <v>17</v>
      </c>
      <c r="R795" t="s">
        <v>18</v>
      </c>
      <c r="S795" t="s">
        <v>1443</v>
      </c>
      <c r="T795">
        <v>1320</v>
      </c>
      <c r="U795" s="2">
        <f>Table1[[#This Row],[Coal Power Plant Size (MW) or Share]]*0.593*9057*211.9*10^(-9)</f>
        <v>1.5022560061080001</v>
      </c>
      <c r="V795" s="2">
        <f>Table1[[#This Row],[Annual Emissions (MMTCO2)]]*40</f>
        <v>60.090240244320007</v>
      </c>
      <c r="W795"/>
      <c r="X795"/>
      <c r="Y795"/>
      <c r="Z795" s="1"/>
      <c r="AA795" s="1"/>
    </row>
    <row r="796" spans="1:27" ht="27" hidden="1" customHeight="1">
      <c r="A796" t="s">
        <v>270</v>
      </c>
      <c r="B796" t="s">
        <v>376</v>
      </c>
      <c r="C796" t="s">
        <v>1465</v>
      </c>
      <c r="D796" s="6">
        <v>480000000</v>
      </c>
      <c r="E796" t="s">
        <v>377</v>
      </c>
      <c r="F796" t="s">
        <v>1411</v>
      </c>
      <c r="G796" t="s">
        <v>1277</v>
      </c>
      <c r="H796" t="s">
        <v>914</v>
      </c>
      <c r="I796" t="s">
        <v>915</v>
      </c>
      <c r="J796" s="28">
        <v>42697</v>
      </c>
      <c r="K796" t="s">
        <v>991</v>
      </c>
      <c r="L796" t="s">
        <v>98</v>
      </c>
      <c r="M796" t="s">
        <v>1412</v>
      </c>
      <c r="N796"/>
      <c r="O796" t="s">
        <v>378</v>
      </c>
      <c r="P796"/>
      <c r="Q796" t="s">
        <v>17</v>
      </c>
      <c r="R796" t="s">
        <v>18</v>
      </c>
      <c r="S796" t="s">
        <v>703</v>
      </c>
      <c r="T796">
        <f>1200/2</f>
        <v>600</v>
      </c>
      <c r="U796" s="2">
        <f>Table1[[#This Row],[Coal Power Plant Size (MW) or Share]]*0.593*9057*211.9*10^(-9)</f>
        <v>0.68284363914000001</v>
      </c>
      <c r="V796" s="2">
        <f>Table1[[#This Row],[Annual Emissions (MMTCO2)]]*40</f>
        <v>27.313745565600001</v>
      </c>
      <c r="W796"/>
      <c r="X796"/>
      <c r="Y796"/>
      <c r="Z796" s="1"/>
      <c r="AA796" s="1"/>
    </row>
    <row r="797" spans="1:27" ht="27" hidden="1" customHeight="1">
      <c r="A797" t="s">
        <v>270</v>
      </c>
      <c r="B797" t="s">
        <v>379</v>
      </c>
      <c r="C797" t="s">
        <v>1465</v>
      </c>
      <c r="D797" s="6">
        <v>507000000</v>
      </c>
      <c r="E797" t="s">
        <v>377</v>
      </c>
      <c r="F797" t="s">
        <v>1411</v>
      </c>
      <c r="G797" t="s">
        <v>1277</v>
      </c>
      <c r="H797" t="s">
        <v>914</v>
      </c>
      <c r="I797" t="s">
        <v>915</v>
      </c>
      <c r="J797" s="28">
        <v>42697</v>
      </c>
      <c r="K797" t="s">
        <v>991</v>
      </c>
      <c r="L797" t="s">
        <v>98</v>
      </c>
      <c r="M797" t="s">
        <v>1412</v>
      </c>
      <c r="N797"/>
      <c r="O797" t="s">
        <v>542</v>
      </c>
      <c r="P797"/>
      <c r="Q797" t="s">
        <v>17</v>
      </c>
      <c r="R797" t="s">
        <v>18</v>
      </c>
      <c r="S797" t="s">
        <v>703</v>
      </c>
      <c r="T797">
        <f>1200/2</f>
        <v>600</v>
      </c>
      <c r="U797" s="2">
        <f>Table1[[#This Row],[Coal Power Plant Size (MW) or Share]]*0.593*9057*211.9*10^(-9)</f>
        <v>0.68284363914000001</v>
      </c>
      <c r="V797" s="2">
        <f>Table1[[#This Row],[Annual Emissions (MMTCO2)]]*40</f>
        <v>27.313745565600001</v>
      </c>
      <c r="W797"/>
      <c r="X797"/>
      <c r="Y797"/>
      <c r="Z797" s="1"/>
      <c r="AA797" s="1"/>
    </row>
    <row r="798" spans="1:27" ht="27" hidden="1" customHeight="1">
      <c r="A798" t="s">
        <v>270</v>
      </c>
      <c r="B798" t="s">
        <v>379</v>
      </c>
      <c r="C798" t="s">
        <v>1465</v>
      </c>
      <c r="D798" s="6">
        <v>401000000</v>
      </c>
      <c r="E798" t="s">
        <v>471</v>
      </c>
      <c r="F798"/>
      <c r="G798"/>
      <c r="H798" t="s">
        <v>753</v>
      </c>
      <c r="I798" t="s">
        <v>712</v>
      </c>
      <c r="J798" s="28">
        <v>42753</v>
      </c>
      <c r="K798" t="s">
        <v>991</v>
      </c>
      <c r="L798" t="s">
        <v>67</v>
      </c>
      <c r="M798" t="s">
        <v>711</v>
      </c>
      <c r="N798"/>
      <c r="O798" t="s">
        <v>754</v>
      </c>
      <c r="P798"/>
      <c r="Q798" t="s">
        <v>17</v>
      </c>
      <c r="R798" t="s">
        <v>18</v>
      </c>
      <c r="S798" t="s">
        <v>703</v>
      </c>
      <c r="T798">
        <f>200/2</f>
        <v>100</v>
      </c>
      <c r="U798" s="2">
        <f>Table1[[#This Row],[Coal Power Plant Size (MW) or Share]]*0.593*9057*211.9*10^(-9)</f>
        <v>0.11380727319</v>
      </c>
      <c r="V798" s="2">
        <f>Table1[[#This Row],[Annual Emissions (MMTCO2)]]*40</f>
        <v>4.5522909275999996</v>
      </c>
      <c r="W798"/>
      <c r="X798"/>
      <c r="Y798"/>
      <c r="Z798" s="1"/>
      <c r="AA798" s="1"/>
    </row>
    <row r="799" spans="1:27" ht="27" hidden="1" customHeight="1">
      <c r="A799" t="s">
        <v>270</v>
      </c>
      <c r="B799" t="s">
        <v>428</v>
      </c>
      <c r="C799" t="s">
        <v>126</v>
      </c>
      <c r="D799" s="6">
        <v>87830000</v>
      </c>
      <c r="E799" t="s">
        <v>471</v>
      </c>
      <c r="F799"/>
      <c r="G799"/>
      <c r="H799" t="s">
        <v>753</v>
      </c>
      <c r="I799" t="s">
        <v>712</v>
      </c>
      <c r="J799" s="28">
        <v>42753</v>
      </c>
      <c r="K799" t="s">
        <v>991</v>
      </c>
      <c r="L799" t="s">
        <v>67</v>
      </c>
      <c r="M799" t="s">
        <v>711</v>
      </c>
      <c r="N799"/>
      <c r="O799" t="s">
        <v>754</v>
      </c>
      <c r="P799"/>
      <c r="Q799" t="s">
        <v>17</v>
      </c>
      <c r="R799" t="s">
        <v>18</v>
      </c>
      <c r="S799" t="s">
        <v>703</v>
      </c>
      <c r="T799">
        <f>200/2</f>
        <v>100</v>
      </c>
      <c r="U799" s="2">
        <f>Table1[[#This Row],[Coal Power Plant Size (MW) or Share]]*0.593*9057*211.9*10^(-9)</f>
        <v>0.11380727319</v>
      </c>
      <c r="V799" s="2">
        <f>Table1[[#This Row],[Annual Emissions (MMTCO2)]]*40</f>
        <v>4.5522909275999996</v>
      </c>
      <c r="W799"/>
      <c r="X799"/>
      <c r="Y799"/>
      <c r="Z799" s="1"/>
      <c r="AA799" s="1"/>
    </row>
    <row r="800" spans="1:27" ht="27" hidden="1" customHeight="1">
      <c r="A800" t="s">
        <v>270</v>
      </c>
      <c r="B800" t="s">
        <v>552</v>
      </c>
      <c r="C800" t="s">
        <v>552</v>
      </c>
      <c r="D800" s="6"/>
      <c r="E800" t="s">
        <v>818</v>
      </c>
      <c r="F800" t="s">
        <v>819</v>
      </c>
      <c r="G800"/>
      <c r="H800" t="s">
        <v>790</v>
      </c>
      <c r="I800" t="s">
        <v>788</v>
      </c>
      <c r="J800" s="28">
        <v>54789</v>
      </c>
      <c r="K800" t="s">
        <v>989</v>
      </c>
      <c r="L800" t="s">
        <v>26</v>
      </c>
      <c r="M800" t="s">
        <v>1158</v>
      </c>
      <c r="N800" t="s">
        <v>789</v>
      </c>
      <c r="O800" t="s">
        <v>820</v>
      </c>
      <c r="P800"/>
      <c r="Q800" t="s">
        <v>17</v>
      </c>
      <c r="R800" t="s">
        <v>353</v>
      </c>
      <c r="S800" t="s">
        <v>476</v>
      </c>
      <c r="T800">
        <v>1980</v>
      </c>
      <c r="U800" s="2">
        <f>Table1[[#This Row],[Coal Power Plant Size (MW) or Share]]*0.593*9057*211.9*10^(-9)</f>
        <v>2.2533840091619997</v>
      </c>
      <c r="V800" s="2">
        <f>Table1[[#This Row],[Annual Emissions (MMTCO2)]]*40</f>
        <v>90.135360366479986</v>
      </c>
      <c r="W800"/>
      <c r="X800"/>
      <c r="Y800"/>
      <c r="Z800" s="1"/>
      <c r="AA800" s="1"/>
    </row>
    <row r="801" spans="1:27" ht="27" hidden="1" customHeight="1">
      <c r="A801" t="s">
        <v>270</v>
      </c>
      <c r="B801" t="s">
        <v>552</v>
      </c>
      <c r="C801" t="s">
        <v>552</v>
      </c>
      <c r="D801" s="6"/>
      <c r="E801" t="s">
        <v>1276</v>
      </c>
      <c r="F801" t="s">
        <v>1159</v>
      </c>
      <c r="G801"/>
      <c r="H801" t="s">
        <v>1189</v>
      </c>
      <c r="I801" t="s">
        <v>1163</v>
      </c>
      <c r="J801" s="28">
        <v>54789</v>
      </c>
      <c r="K801" t="s">
        <v>989</v>
      </c>
      <c r="L801" t="s">
        <v>26</v>
      </c>
      <c r="M801" t="s">
        <v>1430</v>
      </c>
      <c r="N801" t="s">
        <v>1457</v>
      </c>
      <c r="O801" t="s">
        <v>1431</v>
      </c>
      <c r="P801"/>
      <c r="Q801" t="s">
        <v>17</v>
      </c>
      <c r="R801" t="s">
        <v>18</v>
      </c>
      <c r="S801" t="s">
        <v>476</v>
      </c>
      <c r="T801">
        <v>1320</v>
      </c>
      <c r="U801" s="2">
        <f>Table1[[#This Row],[Coal Power Plant Size (MW) or Share]]*0.593*9057*211.9*10^(-9)</f>
        <v>1.5022560061080001</v>
      </c>
      <c r="V801" s="2">
        <f>Table1[[#This Row],[Annual Emissions (MMTCO2)]]*40</f>
        <v>60.090240244320007</v>
      </c>
      <c r="W801"/>
      <c r="X801"/>
      <c r="Y801"/>
      <c r="Z801" s="1"/>
      <c r="AA801" s="1"/>
    </row>
    <row r="802" spans="1:27" ht="27" hidden="1" customHeight="1">
      <c r="A802" t="s">
        <v>270</v>
      </c>
      <c r="B802" t="s">
        <v>552</v>
      </c>
      <c r="C802" t="s">
        <v>552</v>
      </c>
      <c r="D802" s="6"/>
      <c r="E802" t="s">
        <v>1276</v>
      </c>
      <c r="F802" t="s">
        <v>1159</v>
      </c>
      <c r="G802" t="s">
        <v>1277</v>
      </c>
      <c r="H802" t="s">
        <v>1160</v>
      </c>
      <c r="I802" t="s">
        <v>1432</v>
      </c>
      <c r="J802" s="28">
        <v>54789</v>
      </c>
      <c r="K802" t="s">
        <v>989</v>
      </c>
      <c r="L802" t="s">
        <v>26</v>
      </c>
      <c r="M802" t="s">
        <v>1161</v>
      </c>
      <c r="N802" t="s">
        <v>1162</v>
      </c>
      <c r="O802"/>
      <c r="P802" t="s">
        <v>1163</v>
      </c>
      <c r="Q802" t="s">
        <v>17</v>
      </c>
      <c r="R802" t="s">
        <v>18</v>
      </c>
      <c r="S802" t="s">
        <v>476</v>
      </c>
      <c r="T802">
        <v>1320</v>
      </c>
      <c r="U802" s="2">
        <f>Table1[[#This Row],[Coal Power Plant Size (MW) or Share]]*0.593*9057*211.9*10^(-9)</f>
        <v>1.5022560061080001</v>
      </c>
      <c r="V802" s="2">
        <f>Table1[[#This Row],[Annual Emissions (MMTCO2)]]*40</f>
        <v>60.090240244320007</v>
      </c>
      <c r="W802"/>
      <c r="X802"/>
      <c r="Y802"/>
      <c r="Z802" s="1"/>
      <c r="AA802" s="1"/>
    </row>
    <row r="803" spans="1:27" ht="27" hidden="1" customHeight="1">
      <c r="A803" t="s">
        <v>270</v>
      </c>
      <c r="B803" t="s">
        <v>552</v>
      </c>
      <c r="C803" t="s">
        <v>552</v>
      </c>
      <c r="D803" s="6">
        <v>0</v>
      </c>
      <c r="E803" t="s">
        <v>472</v>
      </c>
      <c r="F803"/>
      <c r="G803"/>
      <c r="H803" t="s">
        <v>543</v>
      </c>
      <c r="I803" t="s">
        <v>544</v>
      </c>
      <c r="J803" s="28">
        <v>54789</v>
      </c>
      <c r="K803" t="s">
        <v>991</v>
      </c>
      <c r="L803" t="s">
        <v>67</v>
      </c>
      <c r="M803"/>
      <c r="N803" t="s">
        <v>545</v>
      </c>
      <c r="O803"/>
      <c r="P803"/>
      <c r="Q803" t="s">
        <v>17</v>
      </c>
      <c r="R803" t="s">
        <v>353</v>
      </c>
      <c r="S803" t="s">
        <v>476</v>
      </c>
      <c r="T803">
        <v>1000</v>
      </c>
      <c r="U803" s="2">
        <f>Table1[[#This Row],[Coal Power Plant Size (MW) or Share]]*0.593*9057*211.9*10^(-9)</f>
        <v>1.1380727319000001</v>
      </c>
      <c r="V803" s="2">
        <f>Table1[[#This Row],[Annual Emissions (MMTCO2)]]*40</f>
        <v>45.522909276000007</v>
      </c>
      <c r="W803"/>
      <c r="X803"/>
      <c r="Y803"/>
      <c r="Z803" s="1"/>
      <c r="AA803" s="1"/>
    </row>
    <row r="804" spans="1:27" ht="27" hidden="1" customHeight="1">
      <c r="A804" t="s">
        <v>270</v>
      </c>
      <c r="B804" t="s">
        <v>376</v>
      </c>
      <c r="C804" t="s">
        <v>1465</v>
      </c>
      <c r="D804" s="6">
        <v>0</v>
      </c>
      <c r="E804" t="s">
        <v>531</v>
      </c>
      <c r="F804"/>
      <c r="G804"/>
      <c r="H804" t="s">
        <v>532</v>
      </c>
      <c r="I804" t="s">
        <v>535</v>
      </c>
      <c r="J804" s="28">
        <v>54789</v>
      </c>
      <c r="K804" t="s">
        <v>1451</v>
      </c>
      <c r="L804" t="s">
        <v>36</v>
      </c>
      <c r="M804"/>
      <c r="N804" t="s">
        <v>534</v>
      </c>
      <c r="O804" t="s">
        <v>535</v>
      </c>
      <c r="P804"/>
      <c r="Q804" t="s">
        <v>17</v>
      </c>
      <c r="R804" t="s">
        <v>18</v>
      </c>
      <c r="S804" t="s">
        <v>476</v>
      </c>
      <c r="T804">
        <f>463.5/4</f>
        <v>115.875</v>
      </c>
      <c r="U804" s="2">
        <f>Table1[[#This Row],[Coal Power Plant Size (MW) or Share]]*0.593*9057*211.9*10^(-9)</f>
        <v>0.1318741778089125</v>
      </c>
      <c r="V804" s="2">
        <f>Table1[[#This Row],[Annual Emissions (MMTCO2)]]*40</f>
        <v>5.2749671123565003</v>
      </c>
      <c r="W804"/>
      <c r="X804"/>
      <c r="Y804"/>
      <c r="Z804" s="1"/>
      <c r="AA804" s="1"/>
    </row>
    <row r="805" spans="1:27" ht="27" hidden="1" customHeight="1">
      <c r="A805" t="s">
        <v>270</v>
      </c>
      <c r="B805" t="s">
        <v>376</v>
      </c>
      <c r="C805" t="s">
        <v>1465</v>
      </c>
      <c r="D805" s="6">
        <v>250000000</v>
      </c>
      <c r="E805" t="s">
        <v>781</v>
      </c>
      <c r="F805"/>
      <c r="G805"/>
      <c r="H805" t="s">
        <v>484</v>
      </c>
      <c r="I805" t="s">
        <v>486</v>
      </c>
      <c r="J805" s="28">
        <v>54789</v>
      </c>
      <c r="K805" t="s">
        <v>1482</v>
      </c>
      <c r="L805" t="s">
        <v>71</v>
      </c>
      <c r="M805"/>
      <c r="N805" t="s">
        <v>485</v>
      </c>
      <c r="O805"/>
      <c r="P805"/>
      <c r="Q805" t="s">
        <v>17</v>
      </c>
      <c r="R805" t="s">
        <v>18</v>
      </c>
      <c r="S805" t="s">
        <v>476</v>
      </c>
      <c r="T805">
        <f>300/2</f>
        <v>150</v>
      </c>
      <c r="U805" s="2">
        <f>Table1[[#This Row],[Coal Power Plant Size (MW) or Share]]*0.593*9057*211.9*10^(-9)</f>
        <v>0.170710909785</v>
      </c>
      <c r="V805" s="2">
        <f>Table1[[#This Row],[Annual Emissions (MMTCO2)]]*40</f>
        <v>6.8284363914000004</v>
      </c>
      <c r="W805"/>
      <c r="X805"/>
      <c r="Y805"/>
      <c r="Z805" s="1"/>
      <c r="AA805" s="1"/>
    </row>
    <row r="806" spans="1:27" ht="27" hidden="1" customHeight="1">
      <c r="A806" t="s">
        <v>270</v>
      </c>
      <c r="B806" t="s">
        <v>552</v>
      </c>
      <c r="C806" t="s">
        <v>552</v>
      </c>
      <c r="D806" s="6"/>
      <c r="E806" t="s">
        <v>1255</v>
      </c>
      <c r="F806" t="s">
        <v>1256</v>
      </c>
      <c r="G806" t="s">
        <v>1257</v>
      </c>
      <c r="H806" t="s">
        <v>1258</v>
      </c>
      <c r="I806" t="s">
        <v>1167</v>
      </c>
      <c r="J806" s="28">
        <v>54789</v>
      </c>
      <c r="K806" t="s">
        <v>990</v>
      </c>
      <c r="L806" t="s">
        <v>20</v>
      </c>
      <c r="M806" t="s">
        <v>1254</v>
      </c>
      <c r="N806"/>
      <c r="O806" t="s">
        <v>2005</v>
      </c>
      <c r="P806"/>
      <c r="Q806" t="s">
        <v>17</v>
      </c>
      <c r="R806"/>
      <c r="S806" t="s">
        <v>1196</v>
      </c>
      <c r="T806">
        <v>375</v>
      </c>
      <c r="U806" s="2">
        <f>Table1[[#This Row],[Coal Power Plant Size (MW) or Share]]*0.593*9057*211.9*10^(-9)</f>
        <v>0.42677727446250008</v>
      </c>
      <c r="V806" s="2">
        <f>Table1[[#This Row],[Annual Emissions (MMTCO2)]]*40</f>
        <v>17.071090978500003</v>
      </c>
      <c r="W806"/>
      <c r="X806"/>
      <c r="Y806"/>
      <c r="Z806" s="1"/>
      <c r="AA806" s="1"/>
    </row>
    <row r="807" spans="1:27" ht="27" hidden="1" customHeight="1">
      <c r="A807" t="s">
        <v>270</v>
      </c>
      <c r="B807" t="s">
        <v>477</v>
      </c>
      <c r="C807" t="s">
        <v>1465</v>
      </c>
      <c r="D807" s="6">
        <f>600000000/2</f>
        <v>300000000</v>
      </c>
      <c r="E807" t="s">
        <v>481</v>
      </c>
      <c r="F807" t="s">
        <v>1246</v>
      </c>
      <c r="G807"/>
      <c r="H807" t="s">
        <v>482</v>
      </c>
      <c r="I807" t="s">
        <v>762</v>
      </c>
      <c r="J807" s="28">
        <v>54789</v>
      </c>
      <c r="K807" t="s">
        <v>1482</v>
      </c>
      <c r="L807" t="s">
        <v>29</v>
      </c>
      <c r="M807" t="s">
        <v>1247</v>
      </c>
      <c r="N807" t="s">
        <v>2004</v>
      </c>
      <c r="O807" t="s">
        <v>483</v>
      </c>
      <c r="P807"/>
      <c r="Q807" t="s">
        <v>17</v>
      </c>
      <c r="R807" t="s">
        <v>18</v>
      </c>
      <c r="S807" t="s">
        <v>476</v>
      </c>
      <c r="T807">
        <f>300/3</f>
        <v>100</v>
      </c>
      <c r="U807" s="2">
        <f>Table1[[#This Row],[Coal Power Plant Size (MW) or Share]]*0.593*9057*211.9*10^(-9)</f>
        <v>0.11380727319</v>
      </c>
      <c r="V807" s="2">
        <f>Table1[[#This Row],[Annual Emissions (MMTCO2)]]*40</f>
        <v>4.5522909275999996</v>
      </c>
      <c r="W807"/>
      <c r="X807"/>
      <c r="Y807"/>
      <c r="Z807" s="1"/>
      <c r="AA807" s="1"/>
    </row>
    <row r="808" spans="1:27" ht="27" hidden="1" customHeight="1">
      <c r="A808" t="s">
        <v>270</v>
      </c>
      <c r="B808" t="s">
        <v>376</v>
      </c>
      <c r="C808" t="s">
        <v>1465</v>
      </c>
      <c r="D808" s="6"/>
      <c r="E808" t="s">
        <v>1137</v>
      </c>
      <c r="F808" t="s">
        <v>1133</v>
      </c>
      <c r="G808"/>
      <c r="H808" t="s">
        <v>1134</v>
      </c>
      <c r="I808" t="s">
        <v>1136</v>
      </c>
      <c r="J808" s="28">
        <v>54789</v>
      </c>
      <c r="K808" t="s">
        <v>991</v>
      </c>
      <c r="L808" t="s">
        <v>98</v>
      </c>
      <c r="M808" t="s">
        <v>1135</v>
      </c>
      <c r="N808" t="s">
        <v>1138</v>
      </c>
      <c r="O808" t="s">
        <v>2009</v>
      </c>
      <c r="P808" t="s">
        <v>2020</v>
      </c>
      <c r="Q808" t="s">
        <v>17</v>
      </c>
      <c r="R808" t="s">
        <v>18</v>
      </c>
      <c r="S808" t="s">
        <v>476</v>
      </c>
      <c r="T808">
        <f>1200/3</f>
        <v>400</v>
      </c>
      <c r="U808" s="2">
        <f>Table1[[#This Row],[Coal Power Plant Size (MW) or Share]]*0.593*9057*211.9*10^(-9)</f>
        <v>0.45522909276000001</v>
      </c>
      <c r="V808" s="2">
        <f>Table1[[#This Row],[Annual Emissions (MMTCO2)]]*40</f>
        <v>18.209163710399999</v>
      </c>
      <c r="W808"/>
      <c r="X808"/>
      <c r="Y808"/>
      <c r="Z808" s="1"/>
      <c r="AA808" s="1"/>
    </row>
    <row r="809" spans="1:27" ht="27" hidden="1" customHeight="1">
      <c r="A809" t="s">
        <v>270</v>
      </c>
      <c r="B809" t="s">
        <v>1121</v>
      </c>
      <c r="C809" t="s">
        <v>552</v>
      </c>
      <c r="D809" s="6"/>
      <c r="E809" t="s">
        <v>918</v>
      </c>
      <c r="F809" t="s">
        <v>918</v>
      </c>
      <c r="G809"/>
      <c r="H809" t="s">
        <v>919</v>
      </c>
      <c r="I809" t="s">
        <v>917</v>
      </c>
      <c r="J809" s="28">
        <v>54789</v>
      </c>
      <c r="K809" t="s">
        <v>991</v>
      </c>
      <c r="L809" t="s">
        <v>98</v>
      </c>
      <c r="M809" t="s">
        <v>921</v>
      </c>
      <c r="N809" t="s">
        <v>920</v>
      </c>
      <c r="O809"/>
      <c r="P809"/>
      <c r="Q809" t="s">
        <v>17</v>
      </c>
      <c r="R809" t="s">
        <v>18</v>
      </c>
      <c r="S809" t="s">
        <v>476</v>
      </c>
      <c r="T809">
        <v>1200</v>
      </c>
      <c r="U809" s="2">
        <f>Table1[[#This Row],[Coal Power Plant Size (MW) or Share]]*0.593*9057*211.9*10^(-9)</f>
        <v>1.36568727828</v>
      </c>
      <c r="V809" s="2">
        <f>Table1[[#This Row],[Annual Emissions (MMTCO2)]]*40</f>
        <v>54.627491131200003</v>
      </c>
      <c r="W809"/>
      <c r="X809"/>
      <c r="Y809"/>
      <c r="Z809" s="1"/>
      <c r="AA809" s="1"/>
    </row>
    <row r="810" spans="1:27" ht="27" hidden="1" customHeight="1">
      <c r="A810" t="s">
        <v>270</v>
      </c>
      <c r="B810" t="s">
        <v>376</v>
      </c>
      <c r="C810" t="s">
        <v>552</v>
      </c>
      <c r="D810" s="6"/>
      <c r="E810" t="s">
        <v>1413</v>
      </c>
      <c r="F810" t="s">
        <v>935</v>
      </c>
      <c r="G810"/>
      <c r="H810" t="s">
        <v>936</v>
      </c>
      <c r="I810" t="s">
        <v>937</v>
      </c>
      <c r="J810" s="28">
        <v>54789</v>
      </c>
      <c r="K810" t="s">
        <v>991</v>
      </c>
      <c r="L810" t="s">
        <v>98</v>
      </c>
      <c r="M810" t="s">
        <v>1132</v>
      </c>
      <c r="N810" t="s">
        <v>1131</v>
      </c>
      <c r="O810"/>
      <c r="P810"/>
      <c r="Q810" t="s">
        <v>17</v>
      </c>
      <c r="R810" t="s">
        <v>17</v>
      </c>
      <c r="S810" t="s">
        <v>476</v>
      </c>
      <c r="T810">
        <f>1200/2</f>
        <v>600</v>
      </c>
      <c r="U810" s="2">
        <f>Table1[[#This Row],[Coal Power Plant Size (MW) or Share]]*0.593*9057*211.9*10^(-9)</f>
        <v>0.68284363914000001</v>
      </c>
      <c r="V810" s="2">
        <f>Table1[[#This Row],[Annual Emissions (MMTCO2)]]*40</f>
        <v>27.313745565600001</v>
      </c>
      <c r="W810"/>
      <c r="X810"/>
      <c r="Y810"/>
      <c r="Z810" s="1"/>
      <c r="AA810" s="1"/>
    </row>
    <row r="811" spans="1:27" ht="27" hidden="1" customHeight="1">
      <c r="A811" t="s">
        <v>270</v>
      </c>
      <c r="B811" t="s">
        <v>379</v>
      </c>
      <c r="C811" t="s">
        <v>552</v>
      </c>
      <c r="D811" s="6"/>
      <c r="E811" t="s">
        <v>1413</v>
      </c>
      <c r="F811" t="s">
        <v>935</v>
      </c>
      <c r="G811"/>
      <c r="H811" t="s">
        <v>936</v>
      </c>
      <c r="I811" t="s">
        <v>937</v>
      </c>
      <c r="J811" s="28">
        <v>54789</v>
      </c>
      <c r="K811" t="s">
        <v>991</v>
      </c>
      <c r="L811" t="s">
        <v>98</v>
      </c>
      <c r="M811" t="s">
        <v>1132</v>
      </c>
      <c r="N811" t="s">
        <v>1131</v>
      </c>
      <c r="O811"/>
      <c r="P811"/>
      <c r="Q811" t="s">
        <v>17</v>
      </c>
      <c r="R811" t="s">
        <v>17</v>
      </c>
      <c r="S811" t="s">
        <v>476</v>
      </c>
      <c r="T811">
        <f>1200/2</f>
        <v>600</v>
      </c>
      <c r="U811" s="2">
        <f>Table1[[#This Row],[Coal Power Plant Size (MW) or Share]]*0.593*9057*211.9*10^(-9)</f>
        <v>0.68284363914000001</v>
      </c>
      <c r="V811" s="2">
        <f>Table1[[#This Row],[Annual Emissions (MMTCO2)]]*40</f>
        <v>27.313745565600001</v>
      </c>
      <c r="W811"/>
      <c r="X811"/>
      <c r="Y811"/>
      <c r="Z811" s="1"/>
      <c r="AA811" s="1"/>
    </row>
    <row r="812" spans="1:27" ht="27" hidden="1" customHeight="1">
      <c r="A812" t="s">
        <v>270</v>
      </c>
      <c r="B812" t="s">
        <v>379</v>
      </c>
      <c r="C812" t="s">
        <v>1465</v>
      </c>
      <c r="D812" s="6"/>
      <c r="E812" t="s">
        <v>1137</v>
      </c>
      <c r="F812" t="s">
        <v>1133</v>
      </c>
      <c r="G812"/>
      <c r="H812" t="s">
        <v>1134</v>
      </c>
      <c r="I812" t="s">
        <v>1136</v>
      </c>
      <c r="J812" s="28">
        <v>54789</v>
      </c>
      <c r="K812" t="s">
        <v>991</v>
      </c>
      <c r="L812" t="s">
        <v>98</v>
      </c>
      <c r="M812" t="s">
        <v>1135</v>
      </c>
      <c r="N812" t="s">
        <v>1138</v>
      </c>
      <c r="O812" t="s">
        <v>2009</v>
      </c>
      <c r="P812" t="s">
        <v>2020</v>
      </c>
      <c r="Q812" t="s">
        <v>17</v>
      </c>
      <c r="R812" t="s">
        <v>18</v>
      </c>
      <c r="S812" t="s">
        <v>476</v>
      </c>
      <c r="T812">
        <f>1200/3</f>
        <v>400</v>
      </c>
      <c r="U812" s="2">
        <f>Table1[[#This Row],[Coal Power Plant Size (MW) or Share]]*0.593*9057*211.9*10^(-9)</f>
        <v>0.45522909276000001</v>
      </c>
      <c r="V812" s="2">
        <f>Table1[[#This Row],[Annual Emissions (MMTCO2)]]*40</f>
        <v>18.209163710399999</v>
      </c>
      <c r="W812"/>
      <c r="X812"/>
      <c r="Y812"/>
      <c r="Z812" s="1"/>
      <c r="AA812" s="1"/>
    </row>
    <row r="813" spans="1:27" ht="27" hidden="1" customHeight="1">
      <c r="A813" t="s">
        <v>270</v>
      </c>
      <c r="B813" t="s">
        <v>428</v>
      </c>
      <c r="C813" t="s">
        <v>126</v>
      </c>
      <c r="D813" s="6"/>
      <c r="E813" t="s">
        <v>1137</v>
      </c>
      <c r="F813" t="s">
        <v>1133</v>
      </c>
      <c r="G813"/>
      <c r="H813" t="s">
        <v>1134</v>
      </c>
      <c r="I813" t="s">
        <v>1136</v>
      </c>
      <c r="J813" s="28">
        <v>54789</v>
      </c>
      <c r="K813" t="s">
        <v>991</v>
      </c>
      <c r="L813" t="s">
        <v>98</v>
      </c>
      <c r="M813" t="s">
        <v>1135</v>
      </c>
      <c r="N813" t="s">
        <v>1138</v>
      </c>
      <c r="O813" t="s">
        <v>2009</v>
      </c>
      <c r="P813" t="s">
        <v>2020</v>
      </c>
      <c r="Q813" t="s">
        <v>17</v>
      </c>
      <c r="R813" t="s">
        <v>18</v>
      </c>
      <c r="S813" t="s">
        <v>476</v>
      </c>
      <c r="T813">
        <f>1200/3</f>
        <v>400</v>
      </c>
      <c r="U813" s="2">
        <f>Table1[[#This Row],[Coal Power Plant Size (MW) or Share]]*0.593*9057*211.9*10^(-9)</f>
        <v>0.45522909276000001</v>
      </c>
      <c r="V813" s="2">
        <f>Table1[[#This Row],[Annual Emissions (MMTCO2)]]*40</f>
        <v>18.209163710399999</v>
      </c>
      <c r="W813"/>
      <c r="X813"/>
      <c r="Y813"/>
      <c r="Z813" s="1"/>
      <c r="AA813" s="1"/>
    </row>
    <row r="814" spans="1:27" ht="27" hidden="1" customHeight="1">
      <c r="A814" t="s">
        <v>270</v>
      </c>
      <c r="B814" t="s">
        <v>376</v>
      </c>
      <c r="C814" t="s">
        <v>1465</v>
      </c>
      <c r="D814" s="6">
        <v>862500000</v>
      </c>
      <c r="E814" t="s">
        <v>459</v>
      </c>
      <c r="F814"/>
      <c r="G814"/>
      <c r="H814" t="s">
        <v>460</v>
      </c>
      <c r="I814" t="s">
        <v>461</v>
      </c>
      <c r="J814" s="28">
        <v>54789</v>
      </c>
      <c r="K814" t="s">
        <v>991</v>
      </c>
      <c r="L814" t="s">
        <v>98</v>
      </c>
      <c r="M814"/>
      <c r="N814" t="s">
        <v>2021</v>
      </c>
      <c r="O814" t="s">
        <v>461</v>
      </c>
      <c r="P814" t="s">
        <v>2010</v>
      </c>
      <c r="Q814" t="s">
        <v>17</v>
      </c>
      <c r="R814" t="s">
        <v>18</v>
      </c>
      <c r="S814" t="s">
        <v>476</v>
      </c>
      <c r="T814">
        <v>600</v>
      </c>
      <c r="U814" s="2">
        <f>Table1[[#This Row],[Coal Power Plant Size (MW) or Share]]*0.593*9057*211.9*10^(-9)</f>
        <v>0.68284363914000001</v>
      </c>
      <c r="V814" s="2">
        <f>Table1[[#This Row],[Annual Emissions (MMTCO2)]]*40</f>
        <v>27.313745565600001</v>
      </c>
      <c r="W814"/>
      <c r="X814"/>
      <c r="Y814"/>
      <c r="Z814" s="1"/>
      <c r="AA814" s="1"/>
    </row>
    <row r="815" spans="1:27" ht="27" hidden="1" customHeight="1">
      <c r="A815" t="s">
        <v>270</v>
      </c>
      <c r="B815" t="s">
        <v>376</v>
      </c>
      <c r="C815" t="s">
        <v>1465</v>
      </c>
      <c r="D815" s="6">
        <v>300000000</v>
      </c>
      <c r="E815" t="s">
        <v>479</v>
      </c>
      <c r="F815" t="s">
        <v>948</v>
      </c>
      <c r="G815"/>
      <c r="H815" t="s">
        <v>946</v>
      </c>
      <c r="I815" t="s">
        <v>947</v>
      </c>
      <c r="J815" s="28">
        <v>54789</v>
      </c>
      <c r="K815" t="s">
        <v>991</v>
      </c>
      <c r="L815" t="s">
        <v>98</v>
      </c>
      <c r="M815" t="s">
        <v>949</v>
      </c>
      <c r="N815" t="s">
        <v>952</v>
      </c>
      <c r="O815" t="s">
        <v>945</v>
      </c>
      <c r="P815" t="s">
        <v>951</v>
      </c>
      <c r="Q815" t="s">
        <v>17</v>
      </c>
      <c r="R815" t="s">
        <v>18</v>
      </c>
      <c r="S815" t="s">
        <v>476</v>
      </c>
      <c r="T815">
        <f>600/4</f>
        <v>150</v>
      </c>
      <c r="U815" s="2">
        <f>Table1[[#This Row],[Coal Power Plant Size (MW) or Share]]*0.593*9057*211.9*10^(-9)</f>
        <v>0.170710909785</v>
      </c>
      <c r="V815" s="2">
        <f>Table1[[#This Row],[Annual Emissions (MMTCO2)]]*40</f>
        <v>6.8284363914000004</v>
      </c>
      <c r="W815"/>
      <c r="X815"/>
      <c r="Y815"/>
      <c r="Z815" s="1"/>
      <c r="AA815" s="1"/>
    </row>
    <row r="816" spans="1:27" ht="27" hidden="1" customHeight="1">
      <c r="A816" t="s">
        <v>270</v>
      </c>
      <c r="B816" t="s">
        <v>379</v>
      </c>
      <c r="C816" t="s">
        <v>1465</v>
      </c>
      <c r="D816" s="6">
        <v>455000000</v>
      </c>
      <c r="E816" t="s">
        <v>479</v>
      </c>
      <c r="F816" t="s">
        <v>948</v>
      </c>
      <c r="G816"/>
      <c r="H816" t="s">
        <v>946</v>
      </c>
      <c r="I816" t="s">
        <v>947</v>
      </c>
      <c r="J816" s="28">
        <v>54789</v>
      </c>
      <c r="K816" t="s">
        <v>991</v>
      </c>
      <c r="L816" t="s">
        <v>98</v>
      </c>
      <c r="M816" t="s">
        <v>949</v>
      </c>
      <c r="N816" t="s">
        <v>952</v>
      </c>
      <c r="O816" t="s">
        <v>945</v>
      </c>
      <c r="P816" t="s">
        <v>480</v>
      </c>
      <c r="Q816" t="s">
        <v>17</v>
      </c>
      <c r="R816" t="s">
        <v>18</v>
      </c>
      <c r="S816" t="s">
        <v>476</v>
      </c>
      <c r="T816">
        <f>600/4</f>
        <v>150</v>
      </c>
      <c r="U816" s="2">
        <f>Table1[[#This Row],[Coal Power Plant Size (MW) or Share]]*0.593*9057*211.9*10^(-9)</f>
        <v>0.170710909785</v>
      </c>
      <c r="V816" s="2">
        <f>Table1[[#This Row],[Annual Emissions (MMTCO2)]]*40</f>
        <v>6.8284363914000004</v>
      </c>
      <c r="W816"/>
      <c r="X816"/>
      <c r="Y816"/>
      <c r="Z816" s="1"/>
      <c r="AA816" s="1"/>
    </row>
    <row r="817" spans="1:27" ht="27" hidden="1" customHeight="1">
      <c r="A817" t="s">
        <v>270</v>
      </c>
      <c r="B817" t="s">
        <v>552</v>
      </c>
      <c r="C817" t="s">
        <v>552</v>
      </c>
      <c r="D817" s="6"/>
      <c r="E817"/>
      <c r="F817" t="s">
        <v>932</v>
      </c>
      <c r="G817"/>
      <c r="H817" t="s">
        <v>931</v>
      </c>
      <c r="I817" t="s">
        <v>934</v>
      </c>
      <c r="J817" s="28">
        <v>54789</v>
      </c>
      <c r="K817" t="s">
        <v>991</v>
      </c>
      <c r="L817" t="s">
        <v>98</v>
      </c>
      <c r="M817"/>
      <c r="N817"/>
      <c r="O817"/>
      <c r="P817"/>
      <c r="Q817" t="s">
        <v>17</v>
      </c>
      <c r="R817" t="s">
        <v>18</v>
      </c>
      <c r="S817" t="s">
        <v>476</v>
      </c>
      <c r="T817"/>
      <c r="U817" s="2">
        <f>Table1[[#This Row],[Coal Power Plant Size (MW) or Share]]*0.593*9057*211.9*10^(-9)</f>
        <v>0</v>
      </c>
      <c r="V817" s="2">
        <f>Table1[[#This Row],[Annual Emissions (MMTCO2)]]*40</f>
        <v>0</v>
      </c>
      <c r="W817"/>
      <c r="X817"/>
      <c r="Y817"/>
      <c r="Z817" s="1"/>
      <c r="AA817" s="1"/>
    </row>
    <row r="818" spans="1:27" ht="27" hidden="1" customHeight="1">
      <c r="A818" t="s">
        <v>270</v>
      </c>
      <c r="B818" t="s">
        <v>552</v>
      </c>
      <c r="C818" t="s">
        <v>552</v>
      </c>
      <c r="D818" s="6">
        <v>204000000</v>
      </c>
      <c r="E818"/>
      <c r="F818" t="s">
        <v>837</v>
      </c>
      <c r="G818"/>
      <c r="H818" t="s">
        <v>836</v>
      </c>
      <c r="I818" t="s">
        <v>835</v>
      </c>
      <c r="J818" s="28">
        <v>54789</v>
      </c>
      <c r="K818" t="s">
        <v>1482</v>
      </c>
      <c r="L818" t="s">
        <v>29</v>
      </c>
      <c r="M818" t="s">
        <v>762</v>
      </c>
      <c r="N818" t="s">
        <v>834</v>
      </c>
      <c r="O818"/>
      <c r="P818"/>
      <c r="Q818" t="s">
        <v>17</v>
      </c>
      <c r="R818" t="s">
        <v>23</v>
      </c>
      <c r="S818" t="s">
        <v>476</v>
      </c>
      <c r="T818">
        <v>120</v>
      </c>
      <c r="U818" s="2">
        <f>Table1[[#This Row],[Coal Power Plant Size (MW) or Share]]*0.593*9057*211.9*10^(-9)</f>
        <v>0.13656872782800003</v>
      </c>
      <c r="V818" s="2">
        <f>Table1[[#This Row],[Annual Emissions (MMTCO2)]]*40</f>
        <v>5.462749113120001</v>
      </c>
      <c r="W818"/>
      <c r="X818"/>
      <c r="Y818"/>
      <c r="Z818" s="1"/>
      <c r="AA818" s="1"/>
    </row>
    <row r="819" spans="1:27" ht="27" hidden="1" customHeight="1">
      <c r="A819" t="s">
        <v>270</v>
      </c>
      <c r="B819" t="s">
        <v>552</v>
      </c>
      <c r="C819" t="s">
        <v>552</v>
      </c>
      <c r="D819" s="6"/>
      <c r="E819" t="s">
        <v>1259</v>
      </c>
      <c r="F819" t="s">
        <v>935</v>
      </c>
      <c r="G819" t="s">
        <v>1260</v>
      </c>
      <c r="H819" t="s">
        <v>2014</v>
      </c>
      <c r="I819" t="s">
        <v>1167</v>
      </c>
      <c r="J819" s="28">
        <v>54789</v>
      </c>
      <c r="K819" t="s">
        <v>990</v>
      </c>
      <c r="L819" t="s">
        <v>20</v>
      </c>
      <c r="M819" t="s">
        <v>1261</v>
      </c>
      <c r="N819" t="s">
        <v>2013</v>
      </c>
      <c r="O819" t="s">
        <v>2011</v>
      </c>
      <c r="P819" t="s">
        <v>2012</v>
      </c>
      <c r="Q819" t="s">
        <v>17</v>
      </c>
      <c r="R819"/>
      <c r="S819" t="s">
        <v>1443</v>
      </c>
      <c r="T819">
        <v>404</v>
      </c>
      <c r="U819" s="2">
        <f>Table1[[#This Row],[Coal Power Plant Size (MW) or Share]]*0.593*9057*211.9*10^(-9)</f>
        <v>0.45978138368759996</v>
      </c>
      <c r="V819" s="2">
        <f>Table1[[#This Row],[Annual Emissions (MMTCO2)]]*40</f>
        <v>18.391255347504</v>
      </c>
      <c r="W819"/>
      <c r="X819"/>
      <c r="Y819"/>
      <c r="Z819" s="1"/>
      <c r="AA819" s="1"/>
    </row>
    <row r="820" spans="1:27" ht="27" customHeight="1">
      <c r="A820" t="s">
        <v>270</v>
      </c>
      <c r="B820" t="s">
        <v>772</v>
      </c>
      <c r="C820"/>
      <c r="D820" s="6"/>
      <c r="E820" t="s">
        <v>1139</v>
      </c>
      <c r="F820"/>
      <c r="G820"/>
      <c r="H820" t="s">
        <v>771</v>
      </c>
      <c r="I820" t="s">
        <v>738</v>
      </c>
      <c r="J820" s="28">
        <v>55154</v>
      </c>
      <c r="K820" t="s">
        <v>993</v>
      </c>
      <c r="L820" t="s">
        <v>213</v>
      </c>
      <c r="M820" t="s">
        <v>811</v>
      </c>
      <c r="N820"/>
      <c r="O820" t="s">
        <v>813</v>
      </c>
      <c r="P820" t="s">
        <v>1150</v>
      </c>
      <c r="Q820" t="s">
        <v>17</v>
      </c>
      <c r="R820" t="s">
        <v>18</v>
      </c>
      <c r="S820" t="s">
        <v>1151</v>
      </c>
      <c r="T820">
        <f>2460/2</f>
        <v>1230</v>
      </c>
      <c r="U820" s="2">
        <f>Table1[[#This Row],[Coal Power Plant Size (MW) or Share]]*0.593*9057*211.9*10^(-9)</f>
        <v>1.3998294602370001</v>
      </c>
      <c r="V820" s="2">
        <f>Table1[[#This Row],[Annual Emissions (MMTCO2)]]*40</f>
        <v>55.993178409480002</v>
      </c>
      <c r="W820"/>
      <c r="X820"/>
      <c r="Y820"/>
      <c r="Z820" s="1"/>
      <c r="AA820" s="1"/>
    </row>
    <row r="821" spans="1:27" ht="27" customHeight="1">
      <c r="A821" t="s">
        <v>270</v>
      </c>
      <c r="B821" t="s">
        <v>477</v>
      </c>
      <c r="C821"/>
      <c r="D821" s="6">
        <v>417600000</v>
      </c>
      <c r="E821" t="s">
        <v>472</v>
      </c>
      <c r="F821" t="s">
        <v>1262</v>
      </c>
      <c r="G821" t="s">
        <v>1273</v>
      </c>
      <c r="H821" t="s">
        <v>473</v>
      </c>
      <c r="I821" t="s">
        <v>474</v>
      </c>
      <c r="J821" s="28">
        <v>55154</v>
      </c>
      <c r="K821" t="s">
        <v>991</v>
      </c>
      <c r="L821" t="s">
        <v>67</v>
      </c>
      <c r="M821" t="s">
        <v>1296</v>
      </c>
      <c r="N821" t="s">
        <v>2024</v>
      </c>
      <c r="O821" t="s">
        <v>475</v>
      </c>
      <c r="P821" t="s">
        <v>1968</v>
      </c>
      <c r="Q821" t="s">
        <v>17</v>
      </c>
      <c r="R821" t="s">
        <v>353</v>
      </c>
      <c r="S821" t="s">
        <v>1443</v>
      </c>
      <c r="T821">
        <f>1000/3</f>
        <v>333.33333333333331</v>
      </c>
      <c r="U821" s="2">
        <f>Table1[[#This Row],[Coal Power Plant Size (MW) or Share]]*0.593*9057*211.9*10^(-9)</f>
        <v>0.37935757730000003</v>
      </c>
      <c r="V821" s="2">
        <f>Table1[[#This Row],[Annual Emissions (MMTCO2)]]*40</f>
        <v>15.174303092000001</v>
      </c>
      <c r="W821"/>
      <c r="X821"/>
      <c r="Y821"/>
      <c r="Z821" s="1"/>
      <c r="AA821" s="1"/>
    </row>
    <row r="822" spans="1:27" ht="27" hidden="1" customHeight="1">
      <c r="A822" t="s">
        <v>270</v>
      </c>
      <c r="B822" t="s">
        <v>92</v>
      </c>
      <c r="C822" t="s">
        <v>14</v>
      </c>
      <c r="D822" s="6">
        <v>2023013.8552251642</v>
      </c>
      <c r="E822" t="s">
        <v>102</v>
      </c>
      <c r="F822"/>
      <c r="G822"/>
      <c r="H822" t="s">
        <v>103</v>
      </c>
      <c r="I822" t="s">
        <v>84</v>
      </c>
      <c r="J822" s="28">
        <v>42278</v>
      </c>
      <c r="K822" t="s">
        <v>992</v>
      </c>
      <c r="L822" t="s">
        <v>104</v>
      </c>
      <c r="M822"/>
      <c r="N822" t="s">
        <v>105</v>
      </c>
      <c r="O822" t="s">
        <v>106</v>
      </c>
      <c r="P822"/>
      <c r="Q822" t="s">
        <v>54</v>
      </c>
      <c r="R822" t="s">
        <v>55</v>
      </c>
      <c r="S822" t="s">
        <v>646</v>
      </c>
      <c r="T822"/>
      <c r="U822" s="2">
        <f>Table1[[#This Row],[Coal Power Plant Size (MW) or Share]]*0.593*9057*211.9*10^(-9)</f>
        <v>0</v>
      </c>
      <c r="V822" s="2">
        <f>Table1[[#This Row],[Annual Emissions (MMTCO2)]]*40</f>
        <v>0</v>
      </c>
      <c r="W822"/>
      <c r="X822"/>
      <c r="Y822"/>
      <c r="Z822" s="1"/>
      <c r="AA822" s="1"/>
    </row>
    <row r="823" spans="1:27" ht="27" hidden="1" customHeight="1">
      <c r="A823" t="s">
        <v>270</v>
      </c>
      <c r="B823" t="s">
        <v>28</v>
      </c>
      <c r="C823" t="s">
        <v>14</v>
      </c>
      <c r="D823" s="6">
        <v>5345629.808624316</v>
      </c>
      <c r="E823" t="s">
        <v>30</v>
      </c>
      <c r="F823"/>
      <c r="G823"/>
      <c r="H823" t="s">
        <v>52</v>
      </c>
      <c r="I823" t="s">
        <v>53</v>
      </c>
      <c r="J823" s="28">
        <v>42359</v>
      </c>
      <c r="K823" t="s">
        <v>1482</v>
      </c>
      <c r="L823" t="s">
        <v>31</v>
      </c>
      <c r="M823"/>
      <c r="N823" t="s">
        <v>56</v>
      </c>
      <c r="O823" t="s">
        <v>57</v>
      </c>
      <c r="P823"/>
      <c r="Q823" t="s">
        <v>54</v>
      </c>
      <c r="R823" t="s">
        <v>55</v>
      </c>
      <c r="S823" t="s">
        <v>703</v>
      </c>
      <c r="T823"/>
      <c r="U823" s="2">
        <f>Table1[[#This Row],[Coal Power Plant Size (MW) or Share]]*0.593*9057*211.9*10^(-9)</f>
        <v>0</v>
      </c>
      <c r="V823" s="2">
        <f>Table1[[#This Row],[Annual Emissions (MMTCO2)]]*40</f>
        <v>0</v>
      </c>
      <c r="W823"/>
      <c r="X823"/>
      <c r="Y823"/>
      <c r="Z823" s="1"/>
      <c r="AA823" s="1"/>
    </row>
    <row r="824" spans="1:27" ht="27" hidden="1" customHeight="1">
      <c r="A824" t="s">
        <v>270</v>
      </c>
      <c r="B824" t="s">
        <v>376</v>
      </c>
      <c r="C824" t="s">
        <v>126</v>
      </c>
      <c r="D824" s="6">
        <v>52500000</v>
      </c>
      <c r="E824" t="s">
        <v>581</v>
      </c>
      <c r="F824"/>
      <c r="G824"/>
      <c r="H824" t="s">
        <v>608</v>
      </c>
      <c r="I824" t="s">
        <v>676</v>
      </c>
      <c r="J824" s="28">
        <v>42048</v>
      </c>
      <c r="K824" t="s">
        <v>991</v>
      </c>
      <c r="L824" t="s">
        <v>67</v>
      </c>
      <c r="M824"/>
      <c r="N824"/>
      <c r="O824"/>
      <c r="P824"/>
      <c r="Q824" t="s">
        <v>634</v>
      </c>
      <c r="R824" t="s">
        <v>640</v>
      </c>
      <c r="S824" t="s">
        <v>646</v>
      </c>
      <c r="T824">
        <v>56.6</v>
      </c>
      <c r="U824" s="2">
        <f>Table1[[#This Row],[Coal Power Plant Size (MW) or Share]]*0.593*9057*211.9*10^(-9)</f>
        <v>6.4414916625539997E-2</v>
      </c>
      <c r="V824" s="2">
        <f>Table1[[#This Row],[Annual Emissions (MMTCO2)]]*40</f>
        <v>2.5765966650215999</v>
      </c>
      <c r="W824"/>
      <c r="X824">
        <v>56.6</v>
      </c>
      <c r="Y824"/>
      <c r="Z824" s="1"/>
      <c r="AA824" s="1"/>
    </row>
    <row r="825" spans="1:27" ht="27" hidden="1" customHeight="1">
      <c r="A825" t="s">
        <v>270</v>
      </c>
      <c r="B825" t="s">
        <v>428</v>
      </c>
      <c r="C825" t="s">
        <v>126</v>
      </c>
      <c r="D825" s="6">
        <v>50000000</v>
      </c>
      <c r="E825"/>
      <c r="F825"/>
      <c r="G825"/>
      <c r="H825" t="s">
        <v>1476</v>
      </c>
      <c r="I825" t="s">
        <v>1798</v>
      </c>
      <c r="J825" s="28">
        <v>42340</v>
      </c>
      <c r="K825" t="s">
        <v>990</v>
      </c>
      <c r="L825" t="s">
        <v>288</v>
      </c>
      <c r="M825"/>
      <c r="N825"/>
      <c r="O825"/>
      <c r="P825"/>
      <c r="Q825" t="s">
        <v>634</v>
      </c>
      <c r="R825" t="s">
        <v>636</v>
      </c>
      <c r="S825" t="s">
        <v>703</v>
      </c>
      <c r="T825">
        <v>130</v>
      </c>
      <c r="U825" s="2">
        <f>Table1[[#This Row],[Coal Power Plant Size (MW) or Share]]*0.593*9057*211.9*10^(-9)</f>
        <v>0.14794945514700003</v>
      </c>
      <c r="V825" s="2">
        <f>Table1[[#This Row],[Annual Emissions (MMTCO2)]]*40</f>
        <v>5.9179782058800008</v>
      </c>
      <c r="W825"/>
      <c r="X825">
        <v>130</v>
      </c>
      <c r="Y825"/>
      <c r="Z825" s="1"/>
      <c r="AA825" s="1"/>
    </row>
    <row r="826" spans="1:27" ht="27" hidden="1" customHeight="1">
      <c r="A826" t="s">
        <v>270</v>
      </c>
      <c r="B826" t="s">
        <v>428</v>
      </c>
      <c r="C826" t="s">
        <v>126</v>
      </c>
      <c r="D826" s="6">
        <v>18320000</v>
      </c>
      <c r="E826"/>
      <c r="F826"/>
      <c r="G826"/>
      <c r="H826" t="s">
        <v>1716</v>
      </c>
      <c r="I826" t="s">
        <v>1902</v>
      </c>
      <c r="J826" s="28">
        <v>42347</v>
      </c>
      <c r="K826" t="s">
        <v>1450</v>
      </c>
      <c r="L826" t="s">
        <v>123</v>
      </c>
      <c r="M826" t="s">
        <v>1510</v>
      </c>
      <c r="N826"/>
      <c r="O826"/>
      <c r="P826"/>
      <c r="Q826" t="s">
        <v>634</v>
      </c>
      <c r="R826" t="s">
        <v>635</v>
      </c>
      <c r="S826" t="s">
        <v>703</v>
      </c>
      <c r="T826">
        <f>50/2</f>
        <v>25</v>
      </c>
      <c r="U826" s="2">
        <f>Table1[[#This Row],[Coal Power Plant Size (MW) or Share]]*0.593*9057*211.9*10^(-9)</f>
        <v>2.8451818297500001E-2</v>
      </c>
      <c r="V826" s="2">
        <f>Table1[[#This Row],[Annual Emissions (MMTCO2)]]*40</f>
        <v>1.1380727318999999</v>
      </c>
      <c r="W826"/>
      <c r="X826">
        <f>50/2</f>
        <v>25</v>
      </c>
      <c r="Y826"/>
      <c r="Z826" s="1"/>
      <c r="AA826" s="1"/>
    </row>
    <row r="827" spans="1:27" ht="27" hidden="1" customHeight="1">
      <c r="A827" t="s">
        <v>270</v>
      </c>
      <c r="B827" t="s">
        <v>428</v>
      </c>
      <c r="C827" t="s">
        <v>126</v>
      </c>
      <c r="D827" s="6">
        <v>2280000</v>
      </c>
      <c r="E827"/>
      <c r="F827"/>
      <c r="G827"/>
      <c r="H827" t="s">
        <v>1716</v>
      </c>
      <c r="I827" t="s">
        <v>1902</v>
      </c>
      <c r="J827" s="28">
        <v>42347</v>
      </c>
      <c r="K827" t="s">
        <v>1450</v>
      </c>
      <c r="L827" t="s">
        <v>123</v>
      </c>
      <c r="M827" t="s">
        <v>1510</v>
      </c>
      <c r="N827"/>
      <c r="O827"/>
      <c r="P827"/>
      <c r="Q827" t="s">
        <v>634</v>
      </c>
      <c r="R827" t="s">
        <v>635</v>
      </c>
      <c r="S827" t="s">
        <v>703</v>
      </c>
      <c r="T827">
        <f>50/2</f>
        <v>25</v>
      </c>
      <c r="U827" s="2">
        <f>Table1[[#This Row],[Coal Power Plant Size (MW) or Share]]*0.593*9057*211.9*10^(-9)</f>
        <v>2.8451818297500001E-2</v>
      </c>
      <c r="V827" s="2">
        <f>Table1[[#This Row],[Annual Emissions (MMTCO2)]]*40</f>
        <v>1.1380727318999999</v>
      </c>
      <c r="W827"/>
      <c r="X827">
        <f>50/2</f>
        <v>25</v>
      </c>
      <c r="Y827"/>
      <c r="Z827" s="1"/>
      <c r="AA827" s="1"/>
    </row>
    <row r="828" spans="1:27" ht="27" hidden="1" customHeight="1">
      <c r="A828" t="s">
        <v>270</v>
      </c>
      <c r="B828" t="s">
        <v>428</v>
      </c>
      <c r="C828" t="s">
        <v>126</v>
      </c>
      <c r="D828" s="6">
        <v>17310000</v>
      </c>
      <c r="E828"/>
      <c r="F828"/>
      <c r="G828"/>
      <c r="H828" t="s">
        <v>1677</v>
      </c>
      <c r="I828" t="s">
        <v>1908</v>
      </c>
      <c r="J828" s="28">
        <v>42396</v>
      </c>
      <c r="K828" t="s">
        <v>1450</v>
      </c>
      <c r="L828" t="s">
        <v>123</v>
      </c>
      <c r="M828" t="s">
        <v>1510</v>
      </c>
      <c r="N828"/>
      <c r="O828"/>
      <c r="P828"/>
      <c r="Q828" t="s">
        <v>634</v>
      </c>
      <c r="R828" t="s">
        <v>635</v>
      </c>
      <c r="S828" t="s">
        <v>703</v>
      </c>
      <c r="T828">
        <f>50/2</f>
        <v>25</v>
      </c>
      <c r="U828" s="2">
        <f>Table1[[#This Row],[Coal Power Plant Size (MW) or Share]]*0.593*9057*211.9*10^(-9)</f>
        <v>2.8451818297500001E-2</v>
      </c>
      <c r="V828" s="2">
        <f>Table1[[#This Row],[Annual Emissions (MMTCO2)]]*40</f>
        <v>1.1380727318999999</v>
      </c>
      <c r="W828"/>
      <c r="X828">
        <f>50/2</f>
        <v>25</v>
      </c>
      <c r="Y828"/>
      <c r="Z828" s="1"/>
      <c r="AA828" s="1"/>
    </row>
    <row r="829" spans="1:27" ht="27" hidden="1" customHeight="1">
      <c r="A829" t="s">
        <v>270</v>
      </c>
      <c r="B829" t="s">
        <v>428</v>
      </c>
      <c r="C829" t="s">
        <v>126</v>
      </c>
      <c r="D829" s="6">
        <v>1860000</v>
      </c>
      <c r="E829"/>
      <c r="F829"/>
      <c r="G829"/>
      <c r="H829" t="s">
        <v>1677</v>
      </c>
      <c r="I829" t="s">
        <v>1908</v>
      </c>
      <c r="J829" s="28">
        <v>42396</v>
      </c>
      <c r="K829" t="s">
        <v>1450</v>
      </c>
      <c r="L829" t="s">
        <v>123</v>
      </c>
      <c r="M829" t="s">
        <v>1510</v>
      </c>
      <c r="N829"/>
      <c r="O829"/>
      <c r="P829"/>
      <c r="Q829" t="s">
        <v>634</v>
      </c>
      <c r="R829" t="s">
        <v>635</v>
      </c>
      <c r="S829" t="s">
        <v>703</v>
      </c>
      <c r="T829">
        <f>50/2</f>
        <v>25</v>
      </c>
      <c r="U829" s="2">
        <f>Table1[[#This Row],[Coal Power Plant Size (MW) or Share]]*0.593*9057*211.9*10^(-9)</f>
        <v>2.8451818297500001E-2</v>
      </c>
      <c r="V829" s="2">
        <f>Table1[[#This Row],[Annual Emissions (MMTCO2)]]*40</f>
        <v>1.1380727318999999</v>
      </c>
      <c r="W829"/>
      <c r="X829">
        <f>50/2</f>
        <v>25</v>
      </c>
      <c r="Y829"/>
      <c r="Z829" s="1"/>
      <c r="AA829" s="1"/>
    </row>
    <row r="830" spans="1:27" ht="27" hidden="1" customHeight="1">
      <c r="A830" t="s">
        <v>270</v>
      </c>
      <c r="B830" t="s">
        <v>428</v>
      </c>
      <c r="C830" t="s">
        <v>126</v>
      </c>
      <c r="D830" s="6">
        <v>18490000</v>
      </c>
      <c r="E830"/>
      <c r="F830"/>
      <c r="G830"/>
      <c r="H830" t="s">
        <v>1520</v>
      </c>
      <c r="I830" t="s">
        <v>1942</v>
      </c>
      <c r="J830" s="28">
        <v>42478</v>
      </c>
      <c r="K830" t="s">
        <v>1452</v>
      </c>
      <c r="L830" t="s">
        <v>298</v>
      </c>
      <c r="M830"/>
      <c r="N830"/>
      <c r="O830"/>
      <c r="P830"/>
      <c r="Q830" t="s">
        <v>634</v>
      </c>
      <c r="R830" t="s">
        <v>635</v>
      </c>
      <c r="S830" t="s">
        <v>703</v>
      </c>
      <c r="T830">
        <v>38.799999999999997</v>
      </c>
      <c r="U830" s="2">
        <f>Table1[[#This Row],[Coal Power Plant Size (MW) or Share]]*0.593*9057*211.9*10^(-9)</f>
        <v>4.415722199772E-2</v>
      </c>
      <c r="V830" s="2">
        <f>Table1[[#This Row],[Annual Emissions (MMTCO2)]]*40</f>
        <v>1.7662888799087999</v>
      </c>
      <c r="W830"/>
      <c r="X830">
        <v>38.799999999999997</v>
      </c>
      <c r="Y830"/>
      <c r="Z830" s="1"/>
      <c r="AA830" s="1"/>
    </row>
    <row r="831" spans="1:27" ht="27" hidden="1" customHeight="1">
      <c r="A831" t="s">
        <v>270</v>
      </c>
      <c r="B831" t="s">
        <v>428</v>
      </c>
      <c r="C831" t="s">
        <v>126</v>
      </c>
      <c r="D831" s="6">
        <v>49920000</v>
      </c>
      <c r="E831"/>
      <c r="F831"/>
      <c r="G831"/>
      <c r="H831" t="s">
        <v>1532</v>
      </c>
      <c r="I831" t="s">
        <v>1935</v>
      </c>
      <c r="J831" s="28">
        <v>42563</v>
      </c>
      <c r="K831" t="s">
        <v>990</v>
      </c>
      <c r="L831" t="s">
        <v>20</v>
      </c>
      <c r="M831"/>
      <c r="N831"/>
      <c r="O831"/>
      <c r="P831"/>
      <c r="Q831" t="s">
        <v>634</v>
      </c>
      <c r="R831" t="s">
        <v>635</v>
      </c>
      <c r="S831" t="s">
        <v>703</v>
      </c>
      <c r="T831">
        <v>100</v>
      </c>
      <c r="U831" s="2">
        <f>Table1[[#This Row],[Coal Power Plant Size (MW) or Share]]*0.593*9057*211.9*10^(-9)</f>
        <v>0.11380727319</v>
      </c>
      <c r="V831" s="2">
        <f>Table1[[#This Row],[Annual Emissions (MMTCO2)]]*40</f>
        <v>4.5522909275999996</v>
      </c>
      <c r="W831"/>
      <c r="X831">
        <v>100</v>
      </c>
      <c r="Y831"/>
      <c r="Z831" s="1"/>
      <c r="AA831" s="1"/>
    </row>
    <row r="832" spans="1:27" ht="27" hidden="1" customHeight="1">
      <c r="A832" t="s">
        <v>270</v>
      </c>
      <c r="B832" t="s">
        <v>428</v>
      </c>
      <c r="C832" t="s">
        <v>126</v>
      </c>
      <c r="D832" s="6">
        <v>28890000</v>
      </c>
      <c r="E832"/>
      <c r="F832"/>
      <c r="G832"/>
      <c r="H832" t="s">
        <v>1692</v>
      </c>
      <c r="I832" t="s">
        <v>1888</v>
      </c>
      <c r="J832" s="28">
        <v>42593</v>
      </c>
      <c r="K832" t="s">
        <v>992</v>
      </c>
      <c r="L832" t="s">
        <v>392</v>
      </c>
      <c r="M832" t="s">
        <v>1529</v>
      </c>
      <c r="N832"/>
      <c r="O832"/>
      <c r="P832"/>
      <c r="Q832" t="s">
        <v>634</v>
      </c>
      <c r="R832" t="s">
        <v>1538</v>
      </c>
      <c r="S832" t="s">
        <v>703</v>
      </c>
      <c r="T832">
        <f>299/12</f>
        <v>24.916666666666668</v>
      </c>
      <c r="U832" s="2">
        <f>Table1[[#This Row],[Coal Power Plant Size (MW) or Share]]*0.593*9057*211.9*10^(-9)</f>
        <v>2.8356978903175001E-2</v>
      </c>
      <c r="V832" s="2">
        <f>Table1[[#This Row],[Annual Emissions (MMTCO2)]]*40</f>
        <v>1.134279156127</v>
      </c>
      <c r="W832"/>
      <c r="X832">
        <f>299/12</f>
        <v>24.916666666666668</v>
      </c>
      <c r="Y832"/>
      <c r="Z832" s="1"/>
      <c r="AA832" s="1"/>
    </row>
    <row r="833" spans="1:27" ht="27" hidden="1" customHeight="1">
      <c r="A833" t="s">
        <v>270</v>
      </c>
      <c r="B833" t="s">
        <v>428</v>
      </c>
      <c r="C833" t="s">
        <v>126</v>
      </c>
      <c r="D833" s="6">
        <v>2600000</v>
      </c>
      <c r="E833"/>
      <c r="F833"/>
      <c r="G833"/>
      <c r="H833" t="s">
        <v>1692</v>
      </c>
      <c r="I833" t="s">
        <v>1888</v>
      </c>
      <c r="J833" s="28">
        <v>42593</v>
      </c>
      <c r="K833" t="s">
        <v>992</v>
      </c>
      <c r="L833" t="s">
        <v>392</v>
      </c>
      <c r="M833" t="s">
        <v>1529</v>
      </c>
      <c r="N833"/>
      <c r="O833"/>
      <c r="P833"/>
      <c r="Q833" t="s">
        <v>634</v>
      </c>
      <c r="R833" t="s">
        <v>1538</v>
      </c>
      <c r="S833" t="s">
        <v>703</v>
      </c>
      <c r="T833">
        <f>299/12</f>
        <v>24.916666666666668</v>
      </c>
      <c r="U833" s="2">
        <f>Table1[[#This Row],[Coal Power Plant Size (MW) or Share]]*0.593*9057*211.9*10^(-9)</f>
        <v>2.8356978903175001E-2</v>
      </c>
      <c r="V833" s="2">
        <f>Table1[[#This Row],[Annual Emissions (MMTCO2)]]*40</f>
        <v>1.134279156127</v>
      </c>
      <c r="W833"/>
      <c r="X833">
        <f>299/12</f>
        <v>24.916666666666668</v>
      </c>
      <c r="Y833"/>
      <c r="Z833" s="1"/>
      <c r="AA833" s="1"/>
    </row>
    <row r="834" spans="1:27" ht="27" hidden="1" customHeight="1">
      <c r="A834" t="s">
        <v>270</v>
      </c>
      <c r="B834" t="s">
        <v>428</v>
      </c>
      <c r="C834" t="s">
        <v>126</v>
      </c>
      <c r="D834" s="6">
        <v>8460000</v>
      </c>
      <c r="E834"/>
      <c r="F834"/>
      <c r="G834"/>
      <c r="H834" t="s">
        <v>1692</v>
      </c>
      <c r="I834" t="s">
        <v>1888</v>
      </c>
      <c r="J834" s="28">
        <v>42593</v>
      </c>
      <c r="K834" t="s">
        <v>992</v>
      </c>
      <c r="L834" t="s">
        <v>392</v>
      </c>
      <c r="M834" t="s">
        <v>1529</v>
      </c>
      <c r="N834"/>
      <c r="O834"/>
      <c r="P834"/>
      <c r="Q834" t="s">
        <v>634</v>
      </c>
      <c r="R834" t="s">
        <v>1538</v>
      </c>
      <c r="S834" t="s">
        <v>703</v>
      </c>
      <c r="T834">
        <f>299/12</f>
        <v>24.916666666666668</v>
      </c>
      <c r="U834" s="2">
        <f>Table1[[#This Row],[Coal Power Plant Size (MW) or Share]]*0.593*9057*211.9*10^(-9)</f>
        <v>2.8356978903175001E-2</v>
      </c>
      <c r="V834" s="2">
        <f>Table1[[#This Row],[Annual Emissions (MMTCO2)]]*40</f>
        <v>1.134279156127</v>
      </c>
      <c r="W834"/>
      <c r="X834">
        <f>299/12</f>
        <v>24.916666666666668</v>
      </c>
      <c r="Y834"/>
      <c r="Z834" s="1"/>
      <c r="AA834" s="1"/>
    </row>
    <row r="835" spans="1:27" ht="27" hidden="1" customHeight="1">
      <c r="A835" t="s">
        <v>270</v>
      </c>
      <c r="B835" t="s">
        <v>428</v>
      </c>
      <c r="C835" t="s">
        <v>126</v>
      </c>
      <c r="D835" s="6">
        <v>3760000</v>
      </c>
      <c r="E835"/>
      <c r="F835"/>
      <c r="G835"/>
      <c r="H835" t="s">
        <v>1692</v>
      </c>
      <c r="I835" t="s">
        <v>1888</v>
      </c>
      <c r="J835" s="28">
        <v>42593</v>
      </c>
      <c r="K835" t="s">
        <v>992</v>
      </c>
      <c r="L835" t="s">
        <v>392</v>
      </c>
      <c r="M835" t="s">
        <v>1529</v>
      </c>
      <c r="N835"/>
      <c r="O835"/>
      <c r="P835"/>
      <c r="Q835" t="s">
        <v>634</v>
      </c>
      <c r="R835" t="s">
        <v>1538</v>
      </c>
      <c r="S835" t="s">
        <v>703</v>
      </c>
      <c r="T835">
        <f>299/12</f>
        <v>24.916666666666668</v>
      </c>
      <c r="U835" s="2">
        <f>Table1[[#This Row],[Coal Power Plant Size (MW) or Share]]*0.593*9057*211.9*10^(-9)</f>
        <v>2.8356978903175001E-2</v>
      </c>
      <c r="V835" s="2">
        <f>Table1[[#This Row],[Annual Emissions (MMTCO2)]]*40</f>
        <v>1.134279156127</v>
      </c>
      <c r="W835"/>
      <c r="X835">
        <f>299/12</f>
        <v>24.916666666666668</v>
      </c>
      <c r="Y835"/>
      <c r="Z835" s="1"/>
      <c r="AA835" s="1"/>
    </row>
    <row r="836" spans="1:27" ht="27" hidden="1" customHeight="1">
      <c r="A836" t="s">
        <v>270</v>
      </c>
      <c r="B836" t="s">
        <v>428</v>
      </c>
      <c r="C836" t="s">
        <v>126</v>
      </c>
      <c r="D836" s="6">
        <v>13010000</v>
      </c>
      <c r="E836"/>
      <c r="F836"/>
      <c r="G836"/>
      <c r="H836" t="s">
        <v>1692</v>
      </c>
      <c r="I836" t="s">
        <v>1888</v>
      </c>
      <c r="J836" s="28">
        <v>42593</v>
      </c>
      <c r="K836" t="s">
        <v>992</v>
      </c>
      <c r="L836" t="s">
        <v>392</v>
      </c>
      <c r="M836" t="s">
        <v>1529</v>
      </c>
      <c r="N836"/>
      <c r="O836"/>
      <c r="P836"/>
      <c r="Q836" t="s">
        <v>634</v>
      </c>
      <c r="R836" t="s">
        <v>1538</v>
      </c>
      <c r="S836" t="s">
        <v>703</v>
      </c>
      <c r="T836">
        <f>299/12</f>
        <v>24.916666666666668</v>
      </c>
      <c r="U836" s="2">
        <f>Table1[[#This Row],[Coal Power Plant Size (MW) or Share]]*0.593*9057*211.9*10^(-9)</f>
        <v>2.8356978903175001E-2</v>
      </c>
      <c r="V836" s="2">
        <f>Table1[[#This Row],[Annual Emissions (MMTCO2)]]*40</f>
        <v>1.134279156127</v>
      </c>
      <c r="W836"/>
      <c r="X836">
        <f>299/12</f>
        <v>24.916666666666668</v>
      </c>
      <c r="Y836"/>
      <c r="Z836" s="1"/>
      <c r="AA836" s="1"/>
    </row>
    <row r="837" spans="1:27" ht="27" hidden="1" customHeight="1">
      <c r="A837" t="s">
        <v>270</v>
      </c>
      <c r="B837" t="s">
        <v>428</v>
      </c>
      <c r="C837" t="s">
        <v>126</v>
      </c>
      <c r="D837" s="6">
        <v>15290000</v>
      </c>
      <c r="E837"/>
      <c r="F837"/>
      <c r="G837"/>
      <c r="H837" t="s">
        <v>1692</v>
      </c>
      <c r="I837" t="s">
        <v>1888</v>
      </c>
      <c r="J837" s="28">
        <v>42593</v>
      </c>
      <c r="K837" t="s">
        <v>992</v>
      </c>
      <c r="L837" t="s">
        <v>392</v>
      </c>
      <c r="M837" t="s">
        <v>1529</v>
      </c>
      <c r="N837"/>
      <c r="O837"/>
      <c r="P837"/>
      <c r="Q837" t="s">
        <v>634</v>
      </c>
      <c r="R837" t="s">
        <v>1538</v>
      </c>
      <c r="S837" t="s">
        <v>703</v>
      </c>
      <c r="T837">
        <f>299/12</f>
        <v>24.916666666666668</v>
      </c>
      <c r="U837" s="2">
        <f>Table1[[#This Row],[Coal Power Plant Size (MW) or Share]]*0.593*9057*211.9*10^(-9)</f>
        <v>2.8356978903175001E-2</v>
      </c>
      <c r="V837" s="2">
        <f>Table1[[#This Row],[Annual Emissions (MMTCO2)]]*40</f>
        <v>1.134279156127</v>
      </c>
      <c r="W837"/>
      <c r="X837">
        <f>299/12</f>
        <v>24.916666666666668</v>
      </c>
      <c r="Y837"/>
      <c r="Z837" s="1"/>
      <c r="AA837" s="1"/>
    </row>
    <row r="838" spans="1:27" ht="27" hidden="1" customHeight="1">
      <c r="A838" t="s">
        <v>270</v>
      </c>
      <c r="B838" t="s">
        <v>428</v>
      </c>
      <c r="C838" t="s">
        <v>126</v>
      </c>
      <c r="D838" s="6">
        <v>39400000</v>
      </c>
      <c r="E838"/>
      <c r="F838"/>
      <c r="G838"/>
      <c r="H838" t="s">
        <v>1509</v>
      </c>
      <c r="I838" t="s">
        <v>1852</v>
      </c>
      <c r="J838" s="28">
        <v>42689</v>
      </c>
      <c r="K838" t="s">
        <v>1450</v>
      </c>
      <c r="L838" t="s">
        <v>123</v>
      </c>
      <c r="M838" t="s">
        <v>1510</v>
      </c>
      <c r="N838"/>
      <c r="O838"/>
      <c r="P838"/>
      <c r="Q838" t="s">
        <v>634</v>
      </c>
      <c r="R838" t="s">
        <v>636</v>
      </c>
      <c r="S838" t="s">
        <v>703</v>
      </c>
      <c r="T838">
        <f>100/4</f>
        <v>25</v>
      </c>
      <c r="U838" s="2">
        <f>Table1[[#This Row],[Coal Power Plant Size (MW) or Share]]*0.593*9057*211.9*10^(-9)</f>
        <v>2.8451818297500001E-2</v>
      </c>
      <c r="V838" s="2">
        <f>Table1[[#This Row],[Annual Emissions (MMTCO2)]]*40</f>
        <v>1.1380727318999999</v>
      </c>
      <c r="W838"/>
      <c r="X838">
        <f>100/4</f>
        <v>25</v>
      </c>
      <c r="Y838"/>
      <c r="Z838" s="1"/>
      <c r="AA838" s="1"/>
    </row>
    <row r="839" spans="1:27" ht="27" hidden="1" customHeight="1">
      <c r="A839" t="s">
        <v>270</v>
      </c>
      <c r="B839" t="s">
        <v>428</v>
      </c>
      <c r="C839" t="s">
        <v>126</v>
      </c>
      <c r="D839" s="6">
        <v>1940000</v>
      </c>
      <c r="E839"/>
      <c r="F839"/>
      <c r="G839"/>
      <c r="H839" t="s">
        <v>1509</v>
      </c>
      <c r="I839" t="s">
        <v>1852</v>
      </c>
      <c r="J839" s="28">
        <v>42689</v>
      </c>
      <c r="K839" t="s">
        <v>1450</v>
      </c>
      <c r="L839" t="s">
        <v>123</v>
      </c>
      <c r="M839" t="s">
        <v>1510</v>
      </c>
      <c r="N839"/>
      <c r="O839"/>
      <c r="P839"/>
      <c r="Q839" t="s">
        <v>634</v>
      </c>
      <c r="R839" t="s">
        <v>636</v>
      </c>
      <c r="S839" t="s">
        <v>703</v>
      </c>
      <c r="T839">
        <f>100/4</f>
        <v>25</v>
      </c>
      <c r="U839" s="2">
        <f>Table1[[#This Row],[Coal Power Plant Size (MW) or Share]]*0.593*9057*211.9*10^(-9)</f>
        <v>2.8451818297500001E-2</v>
      </c>
      <c r="V839" s="2">
        <f>Table1[[#This Row],[Annual Emissions (MMTCO2)]]*40</f>
        <v>1.1380727318999999</v>
      </c>
      <c r="W839"/>
      <c r="X839">
        <f>100/4</f>
        <v>25</v>
      </c>
      <c r="Y839"/>
      <c r="Z839" s="1"/>
      <c r="AA839" s="1"/>
    </row>
    <row r="840" spans="1:27" ht="27" hidden="1" customHeight="1">
      <c r="A840" t="s">
        <v>270</v>
      </c>
      <c r="B840" t="s">
        <v>1745</v>
      </c>
      <c r="C840" t="s">
        <v>2030</v>
      </c>
      <c r="D840" s="6">
        <v>64000000</v>
      </c>
      <c r="E840"/>
      <c r="F840"/>
      <c r="G840"/>
      <c r="H840" t="s">
        <v>1600</v>
      </c>
      <c r="I840" t="s">
        <v>1763</v>
      </c>
      <c r="J840" s="28">
        <v>42720</v>
      </c>
      <c r="K840" t="s">
        <v>993</v>
      </c>
      <c r="L840" t="s">
        <v>1478</v>
      </c>
      <c r="M840"/>
      <c r="N840"/>
      <c r="O840"/>
      <c r="P840"/>
      <c r="Q840" t="s">
        <v>634</v>
      </c>
      <c r="R840" t="s">
        <v>636</v>
      </c>
      <c r="S840" t="s">
        <v>703</v>
      </c>
      <c r="T840">
        <v>89.1</v>
      </c>
      <c r="U840" s="2">
        <f>Table1[[#This Row],[Coal Power Plant Size (MW) or Share]]*0.593*9057*211.9*10^(-9)</f>
        <v>0.10140228041229001</v>
      </c>
      <c r="V840" s="2">
        <f>Table1[[#This Row],[Annual Emissions (MMTCO2)]]*40</f>
        <v>4.0560912164916001</v>
      </c>
      <c r="W840"/>
      <c r="X840">
        <v>89.1</v>
      </c>
      <c r="Y840"/>
      <c r="Z840" s="1"/>
      <c r="AA840" s="1"/>
    </row>
    <row r="841" spans="1:27" ht="27" hidden="1" customHeight="1">
      <c r="A841" t="s">
        <v>270</v>
      </c>
      <c r="B841" t="s">
        <v>428</v>
      </c>
      <c r="C841" t="s">
        <v>126</v>
      </c>
      <c r="D841" s="6">
        <f>1530000+35930000</f>
        <v>37460000</v>
      </c>
      <c r="E841" t="s">
        <v>2008</v>
      </c>
      <c r="F841"/>
      <c r="G841"/>
      <c r="H841" t="s">
        <v>2006</v>
      </c>
      <c r="I841" t="s">
        <v>2007</v>
      </c>
      <c r="J841" s="28">
        <v>42859</v>
      </c>
      <c r="K841" t="s">
        <v>1450</v>
      </c>
      <c r="L841" t="s">
        <v>123</v>
      </c>
      <c r="M841" t="s">
        <v>1510</v>
      </c>
      <c r="N841"/>
      <c r="O841"/>
      <c r="P841"/>
      <c r="Q841" t="s">
        <v>634</v>
      </c>
      <c r="R841" t="s">
        <v>636</v>
      </c>
      <c r="S841" t="s">
        <v>703</v>
      </c>
      <c r="T841">
        <f>100/9</f>
        <v>11.111111111111111</v>
      </c>
      <c r="U841" s="2">
        <f>Table1[[#This Row],[Coal Power Plant Size (MW) or Share]]*0.593*9057*211.9*10^(-9)</f>
        <v>1.2645252576666667E-2</v>
      </c>
      <c r="V841" s="2">
        <f>Table1[[#This Row],[Annual Emissions (MMTCO2)]]*40</f>
        <v>0.50581010306666663</v>
      </c>
      <c r="W841"/>
      <c r="X841">
        <f>100/9</f>
        <v>11.111111111111111</v>
      </c>
      <c r="Y841"/>
      <c r="Z841" s="1"/>
      <c r="AA841" s="1"/>
    </row>
    <row r="842" spans="1:27" ht="27" hidden="1" customHeight="1">
      <c r="A842" t="s">
        <v>270</v>
      </c>
      <c r="B842" t="s">
        <v>428</v>
      </c>
      <c r="C842" t="s">
        <v>126</v>
      </c>
      <c r="D842" s="6">
        <v>72000000</v>
      </c>
      <c r="E842"/>
      <c r="F842"/>
      <c r="G842"/>
      <c r="H842" t="s">
        <v>1551</v>
      </c>
      <c r="I842" t="s">
        <v>1883</v>
      </c>
      <c r="J842" s="28">
        <v>42898</v>
      </c>
      <c r="K842" t="s">
        <v>993</v>
      </c>
      <c r="L842" t="s">
        <v>1552</v>
      </c>
      <c r="M842" t="s">
        <v>2002</v>
      </c>
      <c r="N842"/>
      <c r="O842" t="s">
        <v>2003</v>
      </c>
      <c r="P842"/>
      <c r="Q842" t="s">
        <v>634</v>
      </c>
      <c r="R842" t="s">
        <v>635</v>
      </c>
      <c r="S842" t="s">
        <v>476</v>
      </c>
      <c r="T842">
        <f>800/2</f>
        <v>400</v>
      </c>
      <c r="U842" s="2">
        <f>Table1[[#This Row],[Coal Power Plant Size (MW) or Share]]*0.593*9057*211.9*10^(-9)</f>
        <v>0.45522909276000001</v>
      </c>
      <c r="V842" s="2">
        <f>Table1[[#This Row],[Annual Emissions (MMTCO2)]]*40</f>
        <v>18.209163710399999</v>
      </c>
      <c r="W842"/>
      <c r="X842">
        <f>800/2</f>
        <v>400</v>
      </c>
      <c r="Y842"/>
      <c r="Z842" s="1"/>
      <c r="AA842" s="1"/>
    </row>
    <row r="843" spans="1:27" ht="27" hidden="1" customHeight="1">
      <c r="A843" t="s">
        <v>270</v>
      </c>
      <c r="B843" t="s">
        <v>428</v>
      </c>
      <c r="C843" t="s">
        <v>126</v>
      </c>
      <c r="D843" s="6">
        <v>86670000</v>
      </c>
      <c r="E843"/>
      <c r="F843"/>
      <c r="G843"/>
      <c r="H843" t="s">
        <v>1479</v>
      </c>
      <c r="I843" t="s">
        <v>1917</v>
      </c>
      <c r="J843" s="28">
        <v>54789</v>
      </c>
      <c r="K843" t="s">
        <v>990</v>
      </c>
      <c r="L843" t="s">
        <v>20</v>
      </c>
      <c r="M843"/>
      <c r="N843"/>
      <c r="O843"/>
      <c r="P843"/>
      <c r="Q843" t="s">
        <v>634</v>
      </c>
      <c r="R843" t="s">
        <v>636</v>
      </c>
      <c r="S843" t="s">
        <v>476</v>
      </c>
      <c r="T843">
        <f>299/2</f>
        <v>149.5</v>
      </c>
      <c r="U843" s="2">
        <f>Table1[[#This Row],[Coal Power Plant Size (MW) or Share]]*0.593*9057*211.9*10^(-9)</f>
        <v>0.17014187341904999</v>
      </c>
      <c r="V843" s="2">
        <f>Table1[[#This Row],[Annual Emissions (MMTCO2)]]*40</f>
        <v>6.8056749367619993</v>
      </c>
      <c r="W843"/>
      <c r="X843">
        <f>299/2</f>
        <v>149.5</v>
      </c>
      <c r="Y843"/>
      <c r="Z843" s="1"/>
      <c r="AA843" s="1"/>
    </row>
    <row r="844" spans="1:27" s="27" customFormat="1" ht="27" hidden="1" customHeight="1">
      <c r="A844" t="s">
        <v>552</v>
      </c>
      <c r="B844" t="s">
        <v>552</v>
      </c>
      <c r="C844" t="s">
        <v>552</v>
      </c>
      <c r="D844" s="6"/>
      <c r="E844"/>
      <c r="F844"/>
      <c r="G844"/>
      <c r="H844" t="s">
        <v>736</v>
      </c>
      <c r="I844"/>
      <c r="J844" s="28">
        <v>54789</v>
      </c>
      <c r="K844" t="s">
        <v>1482</v>
      </c>
      <c r="L844" t="s">
        <v>197</v>
      </c>
      <c r="M844"/>
      <c r="N844" t="s">
        <v>1177</v>
      </c>
      <c r="O844"/>
      <c r="P844"/>
      <c r="Q844" t="s">
        <v>37</v>
      </c>
      <c r="R844" t="s">
        <v>37</v>
      </c>
      <c r="S844" t="s">
        <v>476</v>
      </c>
      <c r="T844">
        <v>0</v>
      </c>
      <c r="U844" s="2">
        <f>Table1[[#This Row],[Coal Power Plant Size (MW) or Share]]*0.593*9057*211.9*10^(-9)</f>
        <v>0</v>
      </c>
      <c r="V844" s="2">
        <f>Table1[[#This Row],[Annual Emissions (MMTCO2)]]*40</f>
        <v>0</v>
      </c>
      <c r="W844"/>
      <c r="X844"/>
      <c r="Y844"/>
    </row>
    <row r="845" spans="1:27" s="27" customFormat="1" ht="27" hidden="1" customHeight="1">
      <c r="A845" t="s">
        <v>552</v>
      </c>
      <c r="B845" t="s">
        <v>552</v>
      </c>
      <c r="C845"/>
      <c r="D845" s="6"/>
      <c r="E845" t="s">
        <v>1089</v>
      </c>
      <c r="F845" t="s">
        <v>330</v>
      </c>
      <c r="G845"/>
      <c r="H845" t="s">
        <v>1091</v>
      </c>
      <c r="I845" t="s">
        <v>1088</v>
      </c>
      <c r="J845" s="28">
        <v>54789</v>
      </c>
      <c r="K845" t="s">
        <v>991</v>
      </c>
      <c r="L845" t="s">
        <v>706</v>
      </c>
      <c r="M845" t="s">
        <v>1090</v>
      </c>
      <c r="N845"/>
      <c r="O845" t="s">
        <v>1092</v>
      </c>
      <c r="P845" t="s">
        <v>1093</v>
      </c>
      <c r="Q845" t="s">
        <v>17</v>
      </c>
      <c r="R845" t="s">
        <v>961</v>
      </c>
      <c r="S845" t="s">
        <v>476</v>
      </c>
      <c r="T845">
        <v>150</v>
      </c>
      <c r="U845" s="2">
        <f>Table1[[#This Row],[Coal Power Plant Size (MW) or Share]]*0.593*9057*211.9*10^(-9)</f>
        <v>0.170710909785</v>
      </c>
      <c r="V845" s="2">
        <f>Table1[[#This Row],[Annual Emissions (MMTCO2)]]*40</f>
        <v>6.8284363914000004</v>
      </c>
      <c r="W845"/>
      <c r="X845"/>
      <c r="Y845"/>
    </row>
    <row r="846" spans="1:27" s="27" customFormat="1" ht="27" hidden="1" customHeight="1">
      <c r="A846" t="s">
        <v>552</v>
      </c>
      <c r="B846" t="s">
        <v>552</v>
      </c>
      <c r="C846"/>
      <c r="D846" s="6"/>
      <c r="E846"/>
      <c r="F846"/>
      <c r="G846"/>
      <c r="H846" t="s">
        <v>1011</v>
      </c>
      <c r="I846"/>
      <c r="J846" s="28">
        <v>54789</v>
      </c>
      <c r="K846" t="s">
        <v>991</v>
      </c>
      <c r="L846" t="s">
        <v>67</v>
      </c>
      <c r="M846"/>
      <c r="N846"/>
      <c r="O846"/>
      <c r="P846"/>
      <c r="Q846" t="s">
        <v>17</v>
      </c>
      <c r="R846" t="s">
        <v>18</v>
      </c>
      <c r="S846" t="s">
        <v>476</v>
      </c>
      <c r="T846"/>
      <c r="U846" s="2">
        <f>Table1[[#This Row],[Coal Power Plant Size (MW) or Share]]*0.593*9057*211.9*10^(-9)</f>
        <v>0</v>
      </c>
      <c r="V846" s="2">
        <f>Table1[[#This Row],[Annual Emissions (MMTCO2)]]*40</f>
        <v>0</v>
      </c>
      <c r="W846"/>
      <c r="X846"/>
      <c r="Y846"/>
    </row>
    <row r="847" spans="1:27" s="27" customFormat="1" ht="27" hidden="1" customHeight="1">
      <c r="A847" t="s">
        <v>552</v>
      </c>
      <c r="B847" t="s">
        <v>552</v>
      </c>
      <c r="C847"/>
      <c r="D847" s="6"/>
      <c r="E847"/>
      <c r="F847"/>
      <c r="G847"/>
      <c r="H847" t="s">
        <v>1012</v>
      </c>
      <c r="I847"/>
      <c r="J847" s="28">
        <v>54789</v>
      </c>
      <c r="K847" t="s">
        <v>991</v>
      </c>
      <c r="L847" t="s">
        <v>67</v>
      </c>
      <c r="M847"/>
      <c r="N847"/>
      <c r="O847"/>
      <c r="P847"/>
      <c r="Q847" t="s">
        <v>17</v>
      </c>
      <c r="R847" t="s">
        <v>18</v>
      </c>
      <c r="S847" t="s">
        <v>476</v>
      </c>
      <c r="T847"/>
      <c r="U847" s="2">
        <f>Table1[[#This Row],[Coal Power Plant Size (MW) or Share]]*0.593*9057*211.9*10^(-9)</f>
        <v>0</v>
      </c>
      <c r="V847" s="2">
        <f>Table1[[#This Row],[Annual Emissions (MMTCO2)]]*40</f>
        <v>0</v>
      </c>
      <c r="W847"/>
      <c r="X847"/>
      <c r="Y847"/>
    </row>
    <row r="848" spans="1:27" s="27" customFormat="1" ht="27" hidden="1" customHeight="1">
      <c r="A848" t="s">
        <v>552</v>
      </c>
      <c r="B848" t="s">
        <v>552</v>
      </c>
      <c r="C848"/>
      <c r="D848" s="6"/>
      <c r="E848"/>
      <c r="F848"/>
      <c r="G848"/>
      <c r="H848" t="s">
        <v>977</v>
      </c>
      <c r="I848" t="s">
        <v>975</v>
      </c>
      <c r="J848" s="28">
        <v>54789</v>
      </c>
      <c r="K848" t="s">
        <v>1482</v>
      </c>
      <c r="L848" t="s">
        <v>71</v>
      </c>
      <c r="M848"/>
      <c r="N848"/>
      <c r="O848"/>
      <c r="P848"/>
      <c r="Q848" t="s">
        <v>17</v>
      </c>
      <c r="R848"/>
      <c r="S848" t="s">
        <v>476</v>
      </c>
      <c r="T848"/>
      <c r="U848" s="2">
        <f>Table1[[#This Row],[Coal Power Plant Size (MW) or Share]]*0.593*9057*211.9*10^(-9)</f>
        <v>0</v>
      </c>
      <c r="V848" s="2">
        <f>Table1[[#This Row],[Annual Emissions (MMTCO2)]]*40</f>
        <v>0</v>
      </c>
      <c r="W848"/>
      <c r="X848"/>
      <c r="Y848"/>
    </row>
    <row r="849" spans="1:27" s="27" customFormat="1" ht="27" customHeight="1">
      <c r="A849" t="s">
        <v>552</v>
      </c>
      <c r="B849" t="s">
        <v>552</v>
      </c>
      <c r="C849"/>
      <c r="D849" s="6"/>
      <c r="E849" t="s">
        <v>1139</v>
      </c>
      <c r="F849"/>
      <c r="G849"/>
      <c r="H849" t="s">
        <v>771</v>
      </c>
      <c r="I849" t="s">
        <v>738</v>
      </c>
      <c r="J849" s="28">
        <v>55154</v>
      </c>
      <c r="K849" t="s">
        <v>993</v>
      </c>
      <c r="L849" t="s">
        <v>213</v>
      </c>
      <c r="M849" t="s">
        <v>811</v>
      </c>
      <c r="N849"/>
      <c r="O849" t="s">
        <v>813</v>
      </c>
      <c r="P849" t="s">
        <v>1150</v>
      </c>
      <c r="Q849" t="s">
        <v>17</v>
      </c>
      <c r="R849" t="s">
        <v>18</v>
      </c>
      <c r="S849" t="s">
        <v>1151</v>
      </c>
      <c r="T849">
        <f>2460/2</f>
        <v>1230</v>
      </c>
      <c r="U849" s="2">
        <f>Table1[[#This Row],[Coal Power Plant Size (MW) or Share]]*0.593*9057*211.9*10^(-9)</f>
        <v>1.3998294602370001</v>
      </c>
      <c r="V849" s="2">
        <f>Table1[[#This Row],[Annual Emissions (MMTCO2)]]*40</f>
        <v>55.993178409480002</v>
      </c>
      <c r="W849"/>
      <c r="X849"/>
      <c r="Y849"/>
    </row>
    <row r="850" spans="1:27" s="27" customFormat="1" ht="27" hidden="1" customHeight="1">
      <c r="A850" t="s">
        <v>219</v>
      </c>
      <c r="B850" t="s">
        <v>388</v>
      </c>
      <c r="C850" t="s">
        <v>126</v>
      </c>
      <c r="D850" s="6">
        <v>68390000</v>
      </c>
      <c r="E850" t="s">
        <v>389</v>
      </c>
      <c r="F850"/>
      <c r="G850"/>
      <c r="H850" t="s">
        <v>390</v>
      </c>
      <c r="I850"/>
      <c r="J850" s="28">
        <v>42018</v>
      </c>
      <c r="K850" t="s">
        <v>992</v>
      </c>
      <c r="L850" t="s">
        <v>219</v>
      </c>
      <c r="M850"/>
      <c r="N850"/>
      <c r="O850" t="s">
        <v>391</v>
      </c>
      <c r="P850"/>
      <c r="Q850" t="s">
        <v>17</v>
      </c>
      <c r="R850" t="s">
        <v>144</v>
      </c>
      <c r="S850" t="s">
        <v>646</v>
      </c>
      <c r="T850">
        <v>330</v>
      </c>
      <c r="U850" s="2">
        <f>Table1[[#This Row],[Coal Power Plant Size (MW) or Share]]*0.593*9057*211.9*10^(-9)</f>
        <v>0.37556400152700004</v>
      </c>
      <c r="V850" s="2">
        <f>Table1[[#This Row],[Annual Emissions (MMTCO2)]]*40</f>
        <v>15.022560061080002</v>
      </c>
      <c r="W850"/>
      <c r="X850"/>
      <c r="Y850"/>
    </row>
    <row r="851" spans="1:27" s="27" customFormat="1" ht="27" hidden="1" customHeight="1">
      <c r="A851" t="s">
        <v>219</v>
      </c>
      <c r="B851" t="s">
        <v>28</v>
      </c>
      <c r="C851" t="s">
        <v>14</v>
      </c>
      <c r="D851" s="6">
        <v>676371.4804666905</v>
      </c>
      <c r="E851" t="s">
        <v>47</v>
      </c>
      <c r="F851"/>
      <c r="G851"/>
      <c r="H851" t="s">
        <v>48</v>
      </c>
      <c r="I851"/>
      <c r="J851" s="28">
        <v>42064</v>
      </c>
      <c r="K851" t="s">
        <v>1482</v>
      </c>
      <c r="L851" t="s">
        <v>49</v>
      </c>
      <c r="M851"/>
      <c r="N851" t="s">
        <v>50</v>
      </c>
      <c r="O851" t="s">
        <v>51</v>
      </c>
      <c r="P851"/>
      <c r="Q851" t="s">
        <v>17</v>
      </c>
      <c r="R851" t="s">
        <v>18</v>
      </c>
      <c r="S851" t="s">
        <v>703</v>
      </c>
      <c r="T851"/>
      <c r="U851" s="2">
        <f>Table1[[#This Row],[Coal Power Plant Size (MW) or Share]]*0.593*9057*211.9*10^(-9)</f>
        <v>0</v>
      </c>
      <c r="V851" s="2">
        <f>Table1[[#This Row],[Annual Emissions (MMTCO2)]]*40</f>
        <v>0</v>
      </c>
      <c r="W851"/>
      <c r="X851"/>
      <c r="Y851"/>
    </row>
    <row r="852" spans="1:27" s="27" customFormat="1" ht="27" hidden="1" customHeight="1">
      <c r="A852" t="s">
        <v>219</v>
      </c>
      <c r="B852" t="s">
        <v>92</v>
      </c>
      <c r="C852" t="s">
        <v>14</v>
      </c>
      <c r="D852" s="6">
        <v>2326391.7909341156</v>
      </c>
      <c r="E852" t="s">
        <v>102</v>
      </c>
      <c r="F852"/>
      <c r="G852"/>
      <c r="H852" t="s">
        <v>103</v>
      </c>
      <c r="I852" t="s">
        <v>84</v>
      </c>
      <c r="J852" s="28">
        <v>42278</v>
      </c>
      <c r="K852" t="s">
        <v>992</v>
      </c>
      <c r="L852" t="s">
        <v>104</v>
      </c>
      <c r="M852"/>
      <c r="N852" t="s">
        <v>105</v>
      </c>
      <c r="O852" t="s">
        <v>106</v>
      </c>
      <c r="P852"/>
      <c r="Q852" t="s">
        <v>54</v>
      </c>
      <c r="R852" t="s">
        <v>55</v>
      </c>
      <c r="S852" t="s">
        <v>703</v>
      </c>
      <c r="T852"/>
      <c r="U852" s="2">
        <f>Table1[[#This Row],[Coal Power Plant Size (MW) or Share]]*0.593*9057*211.9*10^(-9)</f>
        <v>0</v>
      </c>
      <c r="V852" s="2">
        <f>Table1[[#This Row],[Annual Emissions (MMTCO2)]]*40</f>
        <v>0</v>
      </c>
      <c r="W852"/>
      <c r="X852"/>
      <c r="Y852"/>
    </row>
    <row r="853" spans="1:27" s="27" customFormat="1" ht="27" hidden="1" customHeight="1">
      <c r="A853" t="s">
        <v>219</v>
      </c>
      <c r="B853" t="s">
        <v>28</v>
      </c>
      <c r="C853" t="s">
        <v>14</v>
      </c>
      <c r="D853" s="6">
        <v>3804589.577625134</v>
      </c>
      <c r="E853" t="s">
        <v>30</v>
      </c>
      <c r="F853"/>
      <c r="G853"/>
      <c r="H853" t="s">
        <v>52</v>
      </c>
      <c r="I853" t="s">
        <v>53</v>
      </c>
      <c r="J853" s="28">
        <v>42359</v>
      </c>
      <c r="K853" t="s">
        <v>1482</v>
      </c>
      <c r="L853" t="s">
        <v>31</v>
      </c>
      <c r="M853"/>
      <c r="N853" t="s">
        <v>56</v>
      </c>
      <c r="O853" t="s">
        <v>57</v>
      </c>
      <c r="P853"/>
      <c r="Q853" t="s">
        <v>54</v>
      </c>
      <c r="R853" t="s">
        <v>55</v>
      </c>
      <c r="S853" t="s">
        <v>703</v>
      </c>
      <c r="T853"/>
      <c r="U853" s="2">
        <f>Table1[[#This Row],[Coal Power Plant Size (MW) or Share]]*0.593*9057*211.9*10^(-9)</f>
        <v>0</v>
      </c>
      <c r="V853" s="2">
        <f>Table1[[#This Row],[Annual Emissions (MMTCO2)]]*40</f>
        <v>0</v>
      </c>
      <c r="W853"/>
      <c r="X853"/>
      <c r="Y853"/>
    </row>
    <row r="854" spans="1:27" s="27" customFormat="1" ht="27" hidden="1" customHeight="1">
      <c r="A854" t="s">
        <v>392</v>
      </c>
      <c r="B854" t="s">
        <v>393</v>
      </c>
      <c r="C854" t="s">
        <v>126</v>
      </c>
      <c r="D854" s="6">
        <v>100000000</v>
      </c>
      <c r="E854" t="s">
        <v>399</v>
      </c>
      <c r="F854"/>
      <c r="G854"/>
      <c r="H854" t="s">
        <v>400</v>
      </c>
      <c r="I854" t="s">
        <v>401</v>
      </c>
      <c r="J854" s="28">
        <v>41667</v>
      </c>
      <c r="K854" t="s">
        <v>1451</v>
      </c>
      <c r="L854" t="s">
        <v>110</v>
      </c>
      <c r="M854"/>
      <c r="N854" t="s">
        <v>402</v>
      </c>
      <c r="O854"/>
      <c r="P854"/>
      <c r="Q854" t="s">
        <v>37</v>
      </c>
      <c r="R854" t="s">
        <v>394</v>
      </c>
      <c r="S854" t="s">
        <v>703</v>
      </c>
      <c r="T854"/>
      <c r="U854" s="2">
        <f>Table1[[#This Row],[Coal Power Plant Size (MW) or Share]]*0.593*9057*211.9*10^(-9)</f>
        <v>0</v>
      </c>
      <c r="V854" s="2">
        <f>Table1[[#This Row],[Annual Emissions (MMTCO2)]]*40</f>
        <v>0</v>
      </c>
      <c r="W854"/>
      <c r="X854"/>
      <c r="Y854"/>
    </row>
    <row r="855" spans="1:27" s="27" customFormat="1" ht="27" hidden="1" customHeight="1">
      <c r="A855" t="s">
        <v>392</v>
      </c>
      <c r="B855" t="s">
        <v>393</v>
      </c>
      <c r="C855" t="s">
        <v>126</v>
      </c>
      <c r="D855" s="6">
        <v>207380000</v>
      </c>
      <c r="E855" t="s">
        <v>403</v>
      </c>
      <c r="F855"/>
      <c r="G855"/>
      <c r="H855" t="s">
        <v>404</v>
      </c>
      <c r="I855" t="s">
        <v>405</v>
      </c>
      <c r="J855" s="28">
        <v>41760</v>
      </c>
      <c r="K855" t="s">
        <v>1130</v>
      </c>
      <c r="L855" t="s">
        <v>86</v>
      </c>
      <c r="M855"/>
      <c r="N855" t="s">
        <v>406</v>
      </c>
      <c r="O855"/>
      <c r="P855"/>
      <c r="Q855" t="s">
        <v>37</v>
      </c>
      <c r="R855" t="s">
        <v>394</v>
      </c>
      <c r="S855" t="s">
        <v>703</v>
      </c>
      <c r="T855"/>
      <c r="U855" s="2">
        <f>Table1[[#This Row],[Coal Power Plant Size (MW) or Share]]*0.593*9057*211.9*10^(-9)</f>
        <v>0</v>
      </c>
      <c r="V855" s="2">
        <f>Table1[[#This Row],[Annual Emissions (MMTCO2)]]*40</f>
        <v>0</v>
      </c>
      <c r="W855"/>
      <c r="X855"/>
      <c r="Y855"/>
    </row>
    <row r="856" spans="1:27" s="27" customFormat="1" ht="27" hidden="1" customHeight="1">
      <c r="A856" t="s">
        <v>392</v>
      </c>
      <c r="B856" t="s">
        <v>393</v>
      </c>
      <c r="C856" t="s">
        <v>126</v>
      </c>
      <c r="D856" s="6">
        <v>24390000</v>
      </c>
      <c r="E856" t="s">
        <v>396</v>
      </c>
      <c r="F856"/>
      <c r="G856"/>
      <c r="H856" t="s">
        <v>397</v>
      </c>
      <c r="I856"/>
      <c r="J856" s="28">
        <v>41417</v>
      </c>
      <c r="K856" t="s">
        <v>1130</v>
      </c>
      <c r="L856" t="s">
        <v>86</v>
      </c>
      <c r="M856"/>
      <c r="N856" t="s">
        <v>398</v>
      </c>
      <c r="O856"/>
      <c r="P856"/>
      <c r="Q856" t="s">
        <v>17</v>
      </c>
      <c r="R856" t="s">
        <v>23</v>
      </c>
      <c r="S856" t="s">
        <v>703</v>
      </c>
      <c r="T856"/>
      <c r="U856" s="2">
        <f>Table1[[#This Row],[Coal Power Plant Size (MW) or Share]]*0.593*9057*211.9*10^(-9)</f>
        <v>0</v>
      </c>
      <c r="V856" s="2">
        <f>Table1[[#This Row],[Annual Emissions (MMTCO2)]]*40</f>
        <v>0</v>
      </c>
      <c r="W856"/>
      <c r="X856"/>
      <c r="Y856"/>
    </row>
    <row r="857" spans="1:27" s="27" customFormat="1" ht="27" hidden="1" customHeight="1">
      <c r="A857" t="s">
        <v>392</v>
      </c>
      <c r="B857" t="s">
        <v>28</v>
      </c>
      <c r="C857" t="s">
        <v>14</v>
      </c>
      <c r="D857" s="6">
        <v>3500054.9468867341</v>
      </c>
      <c r="E857" t="s">
        <v>47</v>
      </c>
      <c r="F857"/>
      <c r="G857"/>
      <c r="H857" t="s">
        <v>48</v>
      </c>
      <c r="I857"/>
      <c r="J857" s="28">
        <v>42064</v>
      </c>
      <c r="K857" t="s">
        <v>1482</v>
      </c>
      <c r="L857" t="s">
        <v>49</v>
      </c>
      <c r="M857"/>
      <c r="N857" t="s">
        <v>50</v>
      </c>
      <c r="O857" t="s">
        <v>51</v>
      </c>
      <c r="P857"/>
      <c r="Q857" t="s">
        <v>17</v>
      </c>
      <c r="R857" t="s">
        <v>18</v>
      </c>
      <c r="S857" t="s">
        <v>703</v>
      </c>
      <c r="T857"/>
      <c r="U857" s="2">
        <f>Table1[[#This Row],[Coal Power Plant Size (MW) or Share]]*0.593*9057*211.9*10^(-9)</f>
        <v>0</v>
      </c>
      <c r="V857" s="2">
        <f>Table1[[#This Row],[Annual Emissions (MMTCO2)]]*40</f>
        <v>0</v>
      </c>
      <c r="W857"/>
      <c r="X857"/>
      <c r="Y857"/>
    </row>
    <row r="858" spans="1:27" s="27" customFormat="1" ht="27" hidden="1" customHeight="1">
      <c r="A858" t="s">
        <v>392</v>
      </c>
      <c r="B858" t="s">
        <v>92</v>
      </c>
      <c r="C858" t="s">
        <v>14</v>
      </c>
      <c r="D858" s="6">
        <v>18425663.35256977</v>
      </c>
      <c r="E858" t="s">
        <v>102</v>
      </c>
      <c r="F858"/>
      <c r="G858"/>
      <c r="H858" t="s">
        <v>103</v>
      </c>
      <c r="I858" t="s">
        <v>84</v>
      </c>
      <c r="J858" s="28">
        <v>42278</v>
      </c>
      <c r="K858" t="s">
        <v>992</v>
      </c>
      <c r="L858" t="s">
        <v>104</v>
      </c>
      <c r="M858"/>
      <c r="N858" t="s">
        <v>105</v>
      </c>
      <c r="O858" t="s">
        <v>106</v>
      </c>
      <c r="P858"/>
      <c r="Q858" t="s">
        <v>54</v>
      </c>
      <c r="R858" t="s">
        <v>55</v>
      </c>
      <c r="S858" t="s">
        <v>646</v>
      </c>
      <c r="T858"/>
      <c r="U858" s="2">
        <f>Table1[[#This Row],[Coal Power Plant Size (MW) or Share]]*0.593*9057*211.9*10^(-9)</f>
        <v>0</v>
      </c>
      <c r="V858" s="2">
        <f>Table1[[#This Row],[Annual Emissions (MMTCO2)]]*40</f>
        <v>0</v>
      </c>
      <c r="W858"/>
      <c r="X858"/>
      <c r="Y858"/>
    </row>
    <row r="859" spans="1:27" s="27" customFormat="1" ht="27" hidden="1" customHeight="1">
      <c r="A859" t="s">
        <v>392</v>
      </c>
      <c r="B859" t="s">
        <v>28</v>
      </c>
      <c r="C859" t="s">
        <v>14</v>
      </c>
      <c r="D859" s="6">
        <v>19687809.07623788</v>
      </c>
      <c r="E859" t="s">
        <v>30</v>
      </c>
      <c r="F859"/>
      <c r="G859"/>
      <c r="H859" t="s">
        <v>52</v>
      </c>
      <c r="I859" t="s">
        <v>53</v>
      </c>
      <c r="J859" s="28">
        <v>42359</v>
      </c>
      <c r="K859" t="s">
        <v>1482</v>
      </c>
      <c r="L859" t="s">
        <v>31</v>
      </c>
      <c r="M859"/>
      <c r="N859" t="s">
        <v>56</v>
      </c>
      <c r="O859" t="s">
        <v>57</v>
      </c>
      <c r="P859"/>
      <c r="Q859" t="s">
        <v>54</v>
      </c>
      <c r="R859" t="s">
        <v>55</v>
      </c>
      <c r="S859" t="s">
        <v>703</v>
      </c>
      <c r="T859"/>
      <c r="U859" s="2">
        <f>Table1[[#This Row],[Coal Power Plant Size (MW) or Share]]*0.593*9057*211.9*10^(-9)</f>
        <v>0</v>
      </c>
      <c r="V859" s="2">
        <f>Table1[[#This Row],[Annual Emissions (MMTCO2)]]*40</f>
        <v>0</v>
      </c>
      <c r="W859"/>
      <c r="X859"/>
      <c r="Y859"/>
    </row>
    <row r="860" spans="1:27" ht="27" hidden="1" customHeight="1">
      <c r="A860" t="s">
        <v>156</v>
      </c>
      <c r="B860" t="s">
        <v>803</v>
      </c>
      <c r="C860" t="s">
        <v>1465</v>
      </c>
      <c r="D860" s="6">
        <v>18716807</v>
      </c>
      <c r="E860" t="s">
        <v>410</v>
      </c>
      <c r="F860"/>
      <c r="G860"/>
      <c r="H860" t="s">
        <v>325</v>
      </c>
      <c r="I860" t="s">
        <v>326</v>
      </c>
      <c r="J860" s="28">
        <v>41683</v>
      </c>
      <c r="K860" t="s">
        <v>1451</v>
      </c>
      <c r="L860" t="s">
        <v>110</v>
      </c>
      <c r="M860"/>
      <c r="N860"/>
      <c r="O860" t="s">
        <v>411</v>
      </c>
      <c r="P860"/>
      <c r="Q860" t="s">
        <v>37</v>
      </c>
      <c r="R860" t="s">
        <v>37</v>
      </c>
      <c r="S860" t="s">
        <v>703</v>
      </c>
      <c r="T860"/>
      <c r="U860" s="2">
        <f>Table1[[#This Row],[Coal Power Plant Size (MW) or Share]]*0.593*9057*211.9*10^(-9)</f>
        <v>0</v>
      </c>
      <c r="V860" s="2">
        <f>Table1[[#This Row],[Annual Emissions (MMTCO2)]]*40</f>
        <v>0</v>
      </c>
      <c r="W860"/>
      <c r="X860"/>
      <c r="Y860"/>
      <c r="Z860" s="1"/>
      <c r="AA860" s="1"/>
    </row>
    <row r="861" spans="1:27" ht="27" hidden="1" customHeight="1">
      <c r="A861" t="s">
        <v>156</v>
      </c>
      <c r="B861" t="s">
        <v>28</v>
      </c>
      <c r="C861" t="s">
        <v>14</v>
      </c>
      <c r="D861" s="6">
        <v>13072636.079977972</v>
      </c>
      <c r="E861" t="s">
        <v>47</v>
      </c>
      <c r="F861"/>
      <c r="G861"/>
      <c r="H861" t="s">
        <v>48</v>
      </c>
      <c r="I861"/>
      <c r="J861" s="28">
        <v>42064</v>
      </c>
      <c r="K861" t="s">
        <v>1482</v>
      </c>
      <c r="L861" t="s">
        <v>49</v>
      </c>
      <c r="M861"/>
      <c r="N861" t="s">
        <v>50</v>
      </c>
      <c r="O861" t="s">
        <v>51</v>
      </c>
      <c r="P861"/>
      <c r="Q861" t="s">
        <v>17</v>
      </c>
      <c r="R861" t="s">
        <v>18</v>
      </c>
      <c r="S861" t="s">
        <v>703</v>
      </c>
      <c r="T861"/>
      <c r="U861" s="2">
        <f>Table1[[#This Row],[Coal Power Plant Size (MW) or Share]]*0.593*9057*211.9*10^(-9)</f>
        <v>0</v>
      </c>
      <c r="V861" s="2">
        <f>Table1[[#This Row],[Annual Emissions (MMTCO2)]]*40</f>
        <v>0</v>
      </c>
      <c r="W861"/>
      <c r="X861"/>
      <c r="Y861"/>
      <c r="Z861" s="1"/>
      <c r="AA861" s="1"/>
    </row>
    <row r="862" spans="1:27" ht="27" hidden="1" customHeight="1">
      <c r="A862" t="s">
        <v>156</v>
      </c>
      <c r="B862" t="s">
        <v>803</v>
      </c>
      <c r="C862" t="s">
        <v>1465</v>
      </c>
      <c r="D862" s="6">
        <v>0</v>
      </c>
      <c r="E862" t="s">
        <v>546</v>
      </c>
      <c r="F862"/>
      <c r="G862" t="s">
        <v>1193</v>
      </c>
      <c r="H862" t="s">
        <v>1192</v>
      </c>
      <c r="I862" t="s">
        <v>547</v>
      </c>
      <c r="J862" s="28">
        <v>54789</v>
      </c>
      <c r="K862" t="s">
        <v>989</v>
      </c>
      <c r="L862" t="s">
        <v>97</v>
      </c>
      <c r="M862" t="s">
        <v>1191</v>
      </c>
      <c r="N862" t="s">
        <v>1004</v>
      </c>
      <c r="O862" t="s">
        <v>548</v>
      </c>
      <c r="P862" t="s">
        <v>548</v>
      </c>
      <c r="Q862" t="s">
        <v>17</v>
      </c>
      <c r="R862" t="s">
        <v>18</v>
      </c>
      <c r="S862" t="s">
        <v>1443</v>
      </c>
      <c r="T862">
        <v>660</v>
      </c>
      <c r="U862" s="2">
        <f>Table1[[#This Row],[Coal Power Plant Size (MW) or Share]]*0.593*9057*211.9*10^(-9)</f>
        <v>0.75112800305400007</v>
      </c>
      <c r="V862" s="2">
        <f>Table1[[#This Row],[Annual Emissions (MMTCO2)]]*40</f>
        <v>30.045120122160004</v>
      </c>
      <c r="W862"/>
      <c r="X862"/>
      <c r="Y862"/>
      <c r="Z862" s="1"/>
      <c r="AA862" s="1"/>
    </row>
    <row r="863" spans="1:27" ht="27" hidden="1" customHeight="1">
      <c r="A863" t="s">
        <v>156</v>
      </c>
      <c r="B863" t="s">
        <v>803</v>
      </c>
      <c r="C863" t="s">
        <v>1465</v>
      </c>
      <c r="D863" s="6"/>
      <c r="E863" t="s">
        <v>377</v>
      </c>
      <c r="F863"/>
      <c r="G863"/>
      <c r="H863" t="s">
        <v>1085</v>
      </c>
      <c r="I863" t="s">
        <v>709</v>
      </c>
      <c r="J863" s="28">
        <v>54789</v>
      </c>
      <c r="K863" t="s">
        <v>991</v>
      </c>
      <c r="L863" t="s">
        <v>98</v>
      </c>
      <c r="M863" t="s">
        <v>710</v>
      </c>
      <c r="N863" t="s">
        <v>716</v>
      </c>
      <c r="O863" t="s">
        <v>559</v>
      </c>
      <c r="P863" t="s">
        <v>923</v>
      </c>
      <c r="Q863" t="s">
        <v>17</v>
      </c>
      <c r="R863" t="s">
        <v>18</v>
      </c>
      <c r="S863" t="s">
        <v>476</v>
      </c>
      <c r="T863">
        <v>1200</v>
      </c>
      <c r="U863" s="2">
        <f>Table1[[#This Row],[Coal Power Plant Size (MW) or Share]]*0.593*9057*211.9*10^(-9)</f>
        <v>1.36568727828</v>
      </c>
      <c r="V863" s="2">
        <f>Table1[[#This Row],[Annual Emissions (MMTCO2)]]*40</f>
        <v>54.627491131200003</v>
      </c>
      <c r="W863"/>
      <c r="X863"/>
      <c r="Y863"/>
      <c r="Z863" s="1"/>
      <c r="AA863" s="1"/>
    </row>
    <row r="864" spans="1:27" ht="27" hidden="1" customHeight="1">
      <c r="A864" t="s">
        <v>156</v>
      </c>
      <c r="B864" t="s">
        <v>803</v>
      </c>
      <c r="C864" t="s">
        <v>1465</v>
      </c>
      <c r="D864" s="6"/>
      <c r="E864" t="s">
        <v>407</v>
      </c>
      <c r="F864"/>
      <c r="G864"/>
      <c r="H864" t="s">
        <v>227</v>
      </c>
      <c r="I864" t="s">
        <v>228</v>
      </c>
      <c r="J864" s="28">
        <v>41410</v>
      </c>
      <c r="K864" t="s">
        <v>1451</v>
      </c>
      <c r="L864" t="s">
        <v>36</v>
      </c>
      <c r="M864"/>
      <c r="N864" t="s">
        <v>408</v>
      </c>
      <c r="O864" t="s">
        <v>409</v>
      </c>
      <c r="P864"/>
      <c r="Q864" t="s">
        <v>54</v>
      </c>
      <c r="R864" t="s">
        <v>58</v>
      </c>
      <c r="S864" t="s">
        <v>703</v>
      </c>
      <c r="T864"/>
      <c r="U864" s="2">
        <f>Table1[[#This Row],[Coal Power Plant Size (MW) or Share]]*0.593*9057*211.9*10^(-9)</f>
        <v>0</v>
      </c>
      <c r="V864" s="2">
        <f>Table1[[#This Row],[Annual Emissions (MMTCO2)]]*40</f>
        <v>0</v>
      </c>
      <c r="W864"/>
      <c r="X864"/>
      <c r="Y864"/>
      <c r="Z864" s="1"/>
      <c r="AA864" s="1"/>
    </row>
    <row r="865" spans="1:27" ht="27" hidden="1" customHeight="1">
      <c r="A865" t="s">
        <v>156</v>
      </c>
      <c r="B865" t="s">
        <v>92</v>
      </c>
      <c r="C865" t="s">
        <v>14</v>
      </c>
      <c r="D865" s="6">
        <v>20230677.770977631</v>
      </c>
      <c r="E865" t="s">
        <v>102</v>
      </c>
      <c r="F865"/>
      <c r="G865"/>
      <c r="H865" t="s">
        <v>103</v>
      </c>
      <c r="I865" t="s">
        <v>84</v>
      </c>
      <c r="J865" s="28">
        <v>42278</v>
      </c>
      <c r="K865" t="s">
        <v>992</v>
      </c>
      <c r="L865" t="s">
        <v>104</v>
      </c>
      <c r="M865"/>
      <c r="N865" t="s">
        <v>105</v>
      </c>
      <c r="O865" t="s">
        <v>106</v>
      </c>
      <c r="P865"/>
      <c r="Q865" t="s">
        <v>54</v>
      </c>
      <c r="R865" t="s">
        <v>55</v>
      </c>
      <c r="S865" t="s">
        <v>703</v>
      </c>
      <c r="T865"/>
      <c r="U865" s="2">
        <f>Table1[[#This Row],[Coal Power Plant Size (MW) or Share]]*0.593*9057*211.9*10^(-9)</f>
        <v>0</v>
      </c>
      <c r="V865" s="2">
        <f>Table1[[#This Row],[Annual Emissions (MMTCO2)]]*40</f>
        <v>0</v>
      </c>
      <c r="W865"/>
      <c r="X865"/>
      <c r="Y865"/>
      <c r="Z865" s="1"/>
      <c r="AA865" s="1"/>
    </row>
    <row r="866" spans="1:27" ht="27" hidden="1" customHeight="1">
      <c r="A866" t="s">
        <v>156</v>
      </c>
      <c r="B866" t="s">
        <v>28</v>
      </c>
      <c r="C866" t="s">
        <v>14</v>
      </c>
      <c r="D866" s="6">
        <v>73533577.9498761</v>
      </c>
      <c r="E866" t="s">
        <v>30</v>
      </c>
      <c r="F866"/>
      <c r="G866"/>
      <c r="H866" t="s">
        <v>52</v>
      </c>
      <c r="I866" t="s">
        <v>53</v>
      </c>
      <c r="J866" s="28">
        <v>42359</v>
      </c>
      <c r="K866" t="s">
        <v>1482</v>
      </c>
      <c r="L866" t="s">
        <v>31</v>
      </c>
      <c r="M866"/>
      <c r="N866" t="s">
        <v>56</v>
      </c>
      <c r="O866" t="s">
        <v>57</v>
      </c>
      <c r="P866"/>
      <c r="Q866" t="s">
        <v>54</v>
      </c>
      <c r="R866" t="s">
        <v>55</v>
      </c>
      <c r="S866" t="s">
        <v>703</v>
      </c>
      <c r="T866"/>
      <c r="U866" s="2">
        <f>Table1[[#This Row],[Coal Power Plant Size (MW) or Share]]*0.593*9057*211.9*10^(-9)</f>
        <v>0</v>
      </c>
      <c r="V866" s="2">
        <f>Table1[[#This Row],[Annual Emissions (MMTCO2)]]*40</f>
        <v>0</v>
      </c>
      <c r="W866"/>
      <c r="X866"/>
      <c r="Y866"/>
      <c r="Z866" s="1"/>
      <c r="AA866" s="1"/>
    </row>
    <row r="867" spans="1:27" ht="27" hidden="1" customHeight="1">
      <c r="A867" t="s">
        <v>156</v>
      </c>
      <c r="B867" t="s">
        <v>1746</v>
      </c>
      <c r="C867" t="s">
        <v>2030</v>
      </c>
      <c r="D867" s="6">
        <v>72700000</v>
      </c>
      <c r="E867"/>
      <c r="F867"/>
      <c r="G867"/>
      <c r="H867" t="s">
        <v>1633</v>
      </c>
      <c r="I867" t="s">
        <v>1769</v>
      </c>
      <c r="J867" s="28">
        <v>41394</v>
      </c>
      <c r="K867" t="s">
        <v>990</v>
      </c>
      <c r="L867" t="s">
        <v>1466</v>
      </c>
      <c r="M867"/>
      <c r="N867"/>
      <c r="O867"/>
      <c r="P867"/>
      <c r="Q867" t="s">
        <v>634</v>
      </c>
      <c r="R867" t="s">
        <v>636</v>
      </c>
      <c r="S867" t="s">
        <v>703</v>
      </c>
      <c r="T867">
        <f>50/2</f>
        <v>25</v>
      </c>
      <c r="U867" s="2">
        <f>Table1[[#This Row],[Coal Power Plant Size (MW) or Share]]*0.593*9057*211.9*10^(-9)</f>
        <v>2.8451818297500001E-2</v>
      </c>
      <c r="V867" s="2">
        <f>Table1[[#This Row],[Annual Emissions (MMTCO2)]]*40</f>
        <v>1.1380727318999999</v>
      </c>
      <c r="W867"/>
      <c r="X867">
        <f>50/2</f>
        <v>25</v>
      </c>
      <c r="Y867"/>
      <c r="Z867" s="1"/>
      <c r="AA867" s="1"/>
    </row>
    <row r="868" spans="1:27" ht="27" hidden="1" customHeight="1">
      <c r="A868" t="s">
        <v>156</v>
      </c>
      <c r="B868" t="s">
        <v>560</v>
      </c>
      <c r="C868" t="s">
        <v>126</v>
      </c>
      <c r="D868" s="6">
        <v>95000000</v>
      </c>
      <c r="E868" t="s">
        <v>690</v>
      </c>
      <c r="F868"/>
      <c r="G868"/>
      <c r="H868" t="s">
        <v>620</v>
      </c>
      <c r="I868" t="s">
        <v>689</v>
      </c>
      <c r="J868" s="28">
        <v>41527</v>
      </c>
      <c r="K868" t="s">
        <v>989</v>
      </c>
      <c r="L868" t="s">
        <v>78</v>
      </c>
      <c r="M868"/>
      <c r="N868"/>
      <c r="O868"/>
      <c r="P868"/>
      <c r="Q868" t="s">
        <v>634</v>
      </c>
      <c r="R868" t="s">
        <v>636</v>
      </c>
      <c r="S868" t="s">
        <v>646</v>
      </c>
      <c r="T868">
        <v>49.5</v>
      </c>
      <c r="U868" s="2">
        <f>Table1[[#This Row],[Coal Power Plant Size (MW) or Share]]*0.593*9057*211.9*10^(-9)</f>
        <v>5.6334600229050007E-2</v>
      </c>
      <c r="V868" s="2">
        <f>Table1[[#This Row],[Annual Emissions (MMTCO2)]]*40</f>
        <v>2.2533840091620001</v>
      </c>
      <c r="W868"/>
      <c r="X868">
        <v>49.5</v>
      </c>
      <c r="Y868"/>
      <c r="Z868" s="1"/>
      <c r="AA868" s="1"/>
    </row>
    <row r="869" spans="1:27" ht="27" hidden="1" customHeight="1">
      <c r="A869" t="s">
        <v>156</v>
      </c>
      <c r="B869" t="s">
        <v>560</v>
      </c>
      <c r="C869" t="s">
        <v>126</v>
      </c>
      <c r="D869" s="6">
        <v>147500000</v>
      </c>
      <c r="E869"/>
      <c r="F869"/>
      <c r="G869"/>
      <c r="H869" t="s">
        <v>1497</v>
      </c>
      <c r="I869" t="s">
        <v>1789</v>
      </c>
      <c r="J869" s="28">
        <v>41528</v>
      </c>
      <c r="K869" t="s">
        <v>990</v>
      </c>
      <c r="L869" t="s">
        <v>20</v>
      </c>
      <c r="M869"/>
      <c r="N869"/>
      <c r="O869"/>
      <c r="P869"/>
      <c r="Q869" t="s">
        <v>634</v>
      </c>
      <c r="R869" t="s">
        <v>635</v>
      </c>
      <c r="S869" t="s">
        <v>703</v>
      </c>
      <c r="T869">
        <f>100/2</f>
        <v>50</v>
      </c>
      <c r="U869" s="2">
        <f>Table1[[#This Row],[Coal Power Plant Size (MW) or Share]]*0.593*9057*211.9*10^(-9)</f>
        <v>5.6903636595000001E-2</v>
      </c>
      <c r="V869" s="2">
        <f>Table1[[#This Row],[Annual Emissions (MMTCO2)]]*40</f>
        <v>2.2761454637999998</v>
      </c>
      <c r="W869"/>
      <c r="X869">
        <f>100/2</f>
        <v>50</v>
      </c>
      <c r="Y869"/>
      <c r="Z869" s="1"/>
      <c r="AA869" s="1"/>
    </row>
    <row r="870" spans="1:27" ht="27" hidden="1" customHeight="1">
      <c r="A870" t="s">
        <v>156</v>
      </c>
      <c r="B870" t="s">
        <v>1746</v>
      </c>
      <c r="C870" t="s">
        <v>2030</v>
      </c>
      <c r="D870" s="6">
        <v>14800000</v>
      </c>
      <c r="E870"/>
      <c r="F870"/>
      <c r="G870"/>
      <c r="H870" t="s">
        <v>1517</v>
      </c>
      <c r="I870" t="s">
        <v>1771</v>
      </c>
      <c r="J870" s="28">
        <v>41599</v>
      </c>
      <c r="K870" t="s">
        <v>990</v>
      </c>
      <c r="L870" t="s">
        <v>1503</v>
      </c>
      <c r="M870"/>
      <c r="N870"/>
      <c r="O870"/>
      <c r="P870"/>
      <c r="Q870" t="s">
        <v>634</v>
      </c>
      <c r="R870" t="s">
        <v>636</v>
      </c>
      <c r="S870" t="s">
        <v>703</v>
      </c>
      <c r="T870">
        <v>24</v>
      </c>
      <c r="U870" s="2">
        <f>Table1[[#This Row],[Coal Power Plant Size (MW) or Share]]*0.593*9057*211.9*10^(-9)</f>
        <v>2.7313745565599998E-2</v>
      </c>
      <c r="V870" s="2">
        <f>Table1[[#This Row],[Annual Emissions (MMTCO2)]]*40</f>
        <v>1.092549822624</v>
      </c>
      <c r="W870"/>
      <c r="X870">
        <v>24</v>
      </c>
      <c r="Y870"/>
      <c r="Z870" s="1"/>
      <c r="AA870" s="1"/>
    </row>
    <row r="871" spans="1:27" ht="27" hidden="1" customHeight="1">
      <c r="A871" t="s">
        <v>156</v>
      </c>
      <c r="B871" t="s">
        <v>569</v>
      </c>
      <c r="C871" t="s">
        <v>126</v>
      </c>
      <c r="D871" s="6">
        <v>480000</v>
      </c>
      <c r="E871" t="s">
        <v>585</v>
      </c>
      <c r="F871"/>
      <c r="G871"/>
      <c r="H871" t="s">
        <v>619</v>
      </c>
      <c r="I871" t="s">
        <v>688</v>
      </c>
      <c r="J871" s="28">
        <v>41603</v>
      </c>
      <c r="K871" t="s">
        <v>992</v>
      </c>
      <c r="L871" t="s">
        <v>219</v>
      </c>
      <c r="M871"/>
      <c r="N871"/>
      <c r="O871"/>
      <c r="P871"/>
      <c r="Q871" t="s">
        <v>634</v>
      </c>
      <c r="R871" t="s">
        <v>638</v>
      </c>
      <c r="S871" t="s">
        <v>646</v>
      </c>
      <c r="T871">
        <f>15/2</f>
        <v>7.5</v>
      </c>
      <c r="U871" s="2">
        <f>Table1[[#This Row],[Coal Power Plant Size (MW) or Share]]*0.593*9057*211.9*10^(-9)</f>
        <v>8.5355454892500019E-3</v>
      </c>
      <c r="V871" s="2">
        <f>Table1[[#This Row],[Annual Emissions (MMTCO2)]]*40</f>
        <v>0.34142181957000006</v>
      </c>
      <c r="W871"/>
      <c r="X871">
        <f>15/2</f>
        <v>7.5</v>
      </c>
      <c r="Y871"/>
      <c r="Z871" s="1"/>
      <c r="AA871" s="1"/>
    </row>
    <row r="872" spans="1:27" ht="27" hidden="1" customHeight="1">
      <c r="A872" t="s">
        <v>156</v>
      </c>
      <c r="B872" t="s">
        <v>1746</v>
      </c>
      <c r="C872" t="s">
        <v>2030</v>
      </c>
      <c r="D872" s="6">
        <v>61100000</v>
      </c>
      <c r="E872"/>
      <c r="F872"/>
      <c r="G872"/>
      <c r="H872" t="s">
        <v>1470</v>
      </c>
      <c r="I872" t="s">
        <v>1772</v>
      </c>
      <c r="J872" s="28">
        <v>41619</v>
      </c>
      <c r="K872" t="s">
        <v>990</v>
      </c>
      <c r="L872" t="s">
        <v>1471</v>
      </c>
      <c r="M872"/>
      <c r="N872"/>
      <c r="O872"/>
      <c r="P872"/>
      <c r="Q872" t="s">
        <v>634</v>
      </c>
      <c r="R872" t="s">
        <v>636</v>
      </c>
      <c r="S872" t="s">
        <v>703</v>
      </c>
      <c r="T872">
        <v>50</v>
      </c>
      <c r="U872" s="2">
        <f>Table1[[#This Row],[Coal Power Plant Size (MW) or Share]]*0.593*9057*211.9*10^(-9)</f>
        <v>5.6903636595000001E-2</v>
      </c>
      <c r="V872" s="2">
        <f>Table1[[#This Row],[Annual Emissions (MMTCO2)]]*40</f>
        <v>2.2761454637999998</v>
      </c>
      <c r="W872"/>
      <c r="X872">
        <v>50</v>
      </c>
      <c r="Y872"/>
      <c r="Z872" s="1"/>
      <c r="AA872" s="1"/>
    </row>
    <row r="873" spans="1:27" ht="27" hidden="1" customHeight="1">
      <c r="A873" t="s">
        <v>156</v>
      </c>
      <c r="B873" t="s">
        <v>560</v>
      </c>
      <c r="C873" t="s">
        <v>126</v>
      </c>
      <c r="D873" s="6">
        <v>150000000</v>
      </c>
      <c r="E873"/>
      <c r="F873"/>
      <c r="G873"/>
      <c r="H873" t="s">
        <v>618</v>
      </c>
      <c r="I873" t="s">
        <v>687</v>
      </c>
      <c r="J873" s="28">
        <v>41677</v>
      </c>
      <c r="K873" t="s">
        <v>989</v>
      </c>
      <c r="L873" t="s">
        <v>26</v>
      </c>
      <c r="M873" t="s">
        <v>633</v>
      </c>
      <c r="N873"/>
      <c r="O873"/>
      <c r="P873"/>
      <c r="Q873" t="s">
        <v>634</v>
      </c>
      <c r="R873" t="s">
        <v>635</v>
      </c>
      <c r="S873" t="s">
        <v>646</v>
      </c>
      <c r="T873"/>
      <c r="U873" s="2">
        <f>Table1[[#This Row],[Coal Power Plant Size (MW) or Share]]*0.593*9057*211.9*10^(-9)</f>
        <v>0</v>
      </c>
      <c r="V873" s="2">
        <f>Table1[[#This Row],[Annual Emissions (MMTCO2)]]*40</f>
        <v>0</v>
      </c>
      <c r="W873"/>
      <c r="X873"/>
      <c r="Y873"/>
      <c r="Z873" s="1"/>
      <c r="AA873" s="1"/>
    </row>
    <row r="874" spans="1:27" ht="27" hidden="1" customHeight="1">
      <c r="A874" t="s">
        <v>156</v>
      </c>
      <c r="B874" t="s">
        <v>560</v>
      </c>
      <c r="C874" t="s">
        <v>126</v>
      </c>
      <c r="D874" s="6">
        <v>400000</v>
      </c>
      <c r="E874"/>
      <c r="F874"/>
      <c r="G874"/>
      <c r="H874" t="s">
        <v>1481</v>
      </c>
      <c r="I874" t="s">
        <v>1811</v>
      </c>
      <c r="J874" s="28">
        <v>41688</v>
      </c>
      <c r="K874" t="s">
        <v>1482</v>
      </c>
      <c r="L874" t="s">
        <v>1483</v>
      </c>
      <c r="M874"/>
      <c r="N874"/>
      <c r="O874"/>
      <c r="P874"/>
      <c r="Q874" t="s">
        <v>634</v>
      </c>
      <c r="R874" t="s">
        <v>635</v>
      </c>
      <c r="S874" t="s">
        <v>703</v>
      </c>
      <c r="T874">
        <v>8.5</v>
      </c>
      <c r="U874" s="2">
        <f>Table1[[#This Row],[Coal Power Plant Size (MW) or Share]]*0.593*9057*211.9*10^(-9)</f>
        <v>9.6736182211499995E-3</v>
      </c>
      <c r="V874" s="2">
        <f>Table1[[#This Row],[Annual Emissions (MMTCO2)]]*40</f>
        <v>0.38694472884599995</v>
      </c>
      <c r="W874"/>
      <c r="X874">
        <v>8.5</v>
      </c>
      <c r="Y874"/>
      <c r="Z874" s="1"/>
      <c r="AA874" s="1"/>
    </row>
    <row r="875" spans="1:27" ht="27" hidden="1" customHeight="1">
      <c r="A875" t="s">
        <v>156</v>
      </c>
      <c r="B875" t="s">
        <v>560</v>
      </c>
      <c r="C875" t="s">
        <v>126</v>
      </c>
      <c r="D875" s="6">
        <v>62900000</v>
      </c>
      <c r="E875"/>
      <c r="F875"/>
      <c r="G875"/>
      <c r="H875" t="s">
        <v>1658</v>
      </c>
      <c r="I875" t="s">
        <v>1797</v>
      </c>
      <c r="J875" s="28">
        <v>41729</v>
      </c>
      <c r="K875" t="s">
        <v>990</v>
      </c>
      <c r="L875" t="s">
        <v>20</v>
      </c>
      <c r="M875"/>
      <c r="N875"/>
      <c r="O875"/>
      <c r="P875"/>
      <c r="Q875" t="s">
        <v>634</v>
      </c>
      <c r="R875" t="s">
        <v>635</v>
      </c>
      <c r="S875" t="s">
        <v>703</v>
      </c>
      <c r="T875">
        <f>50.7/2</f>
        <v>25.35</v>
      </c>
      <c r="U875" s="2">
        <f>Table1[[#This Row],[Coal Power Plant Size (MW) or Share]]*0.593*9057*211.9*10^(-9)</f>
        <v>2.8850143753665007E-2</v>
      </c>
      <c r="V875" s="2">
        <f>Table1[[#This Row],[Annual Emissions (MMTCO2)]]*40</f>
        <v>1.1540057501466003</v>
      </c>
      <c r="W875"/>
      <c r="X875">
        <f>50.7/2</f>
        <v>25.35</v>
      </c>
      <c r="Y875"/>
      <c r="Z875" s="1"/>
      <c r="AA875" s="1"/>
    </row>
    <row r="876" spans="1:27" ht="27" hidden="1" customHeight="1">
      <c r="A876" t="s">
        <v>156</v>
      </c>
      <c r="B876" t="s">
        <v>560</v>
      </c>
      <c r="C876" t="s">
        <v>126</v>
      </c>
      <c r="D876" s="6">
        <v>230000000</v>
      </c>
      <c r="E876"/>
      <c r="F876"/>
      <c r="G876"/>
      <c r="H876" t="s">
        <v>1592</v>
      </c>
      <c r="I876" t="s">
        <v>1821</v>
      </c>
      <c r="J876" s="28">
        <v>41906</v>
      </c>
      <c r="K876" t="s">
        <v>990</v>
      </c>
      <c r="L876" t="s">
        <v>20</v>
      </c>
      <c r="M876"/>
      <c r="N876"/>
      <c r="O876"/>
      <c r="P876"/>
      <c r="Q876" t="s">
        <v>634</v>
      </c>
      <c r="R876" t="s">
        <v>635</v>
      </c>
      <c r="S876" t="s">
        <v>703</v>
      </c>
      <c r="T876">
        <f>141/2</f>
        <v>70.5</v>
      </c>
      <c r="U876" s="2">
        <f>Table1[[#This Row],[Coal Power Plant Size (MW) or Share]]*0.593*9057*211.9*10^(-9)</f>
        <v>8.0234127598950003E-2</v>
      </c>
      <c r="V876" s="2">
        <f>Table1[[#This Row],[Annual Emissions (MMTCO2)]]*40</f>
        <v>3.209365103958</v>
      </c>
      <c r="W876"/>
      <c r="X876">
        <f>141/2</f>
        <v>70.5</v>
      </c>
      <c r="Y876"/>
      <c r="Z876" s="1"/>
      <c r="AA876" s="1"/>
    </row>
    <row r="877" spans="1:27" ht="27" hidden="1" customHeight="1">
      <c r="A877" t="s">
        <v>156</v>
      </c>
      <c r="B877" t="s">
        <v>1746</v>
      </c>
      <c r="C877" t="s">
        <v>2030</v>
      </c>
      <c r="D877" s="6">
        <v>64500000</v>
      </c>
      <c r="E877"/>
      <c r="F877"/>
      <c r="G877"/>
      <c r="H877" t="s">
        <v>1684</v>
      </c>
      <c r="I877" t="s">
        <v>1808</v>
      </c>
      <c r="J877" s="28">
        <v>42016</v>
      </c>
      <c r="K877" t="s">
        <v>990</v>
      </c>
      <c r="L877" t="s">
        <v>1466</v>
      </c>
      <c r="M877"/>
      <c r="N877"/>
      <c r="O877"/>
      <c r="P877"/>
      <c r="Q877" t="s">
        <v>634</v>
      </c>
      <c r="R877" t="s">
        <v>636</v>
      </c>
      <c r="S877" t="s">
        <v>703</v>
      </c>
      <c r="T877">
        <v>50</v>
      </c>
      <c r="U877" s="2">
        <f>Table1[[#This Row],[Coal Power Plant Size (MW) or Share]]*0.593*9057*211.9*10^(-9)</f>
        <v>5.6903636595000001E-2</v>
      </c>
      <c r="V877" s="2">
        <f>Table1[[#This Row],[Annual Emissions (MMTCO2)]]*40</f>
        <v>2.2761454637999998</v>
      </c>
      <c r="W877"/>
      <c r="X877">
        <v>50</v>
      </c>
      <c r="Y877"/>
      <c r="Z877" s="1"/>
      <c r="AA877" s="1"/>
    </row>
    <row r="878" spans="1:27" ht="27" hidden="1" customHeight="1">
      <c r="A878" t="s">
        <v>156</v>
      </c>
      <c r="B878" t="s">
        <v>560</v>
      </c>
      <c r="C878" t="s">
        <v>126</v>
      </c>
      <c r="D878" s="6">
        <v>25000000</v>
      </c>
      <c r="E878"/>
      <c r="F878"/>
      <c r="G878"/>
      <c r="H878" t="s">
        <v>1680</v>
      </c>
      <c r="I878" t="s">
        <v>1851</v>
      </c>
      <c r="J878" s="28">
        <v>42025</v>
      </c>
      <c r="K878" t="s">
        <v>993</v>
      </c>
      <c r="L878" t="s">
        <v>1478</v>
      </c>
      <c r="M878"/>
      <c r="N878"/>
      <c r="O878"/>
      <c r="P878"/>
      <c r="Q878" t="s">
        <v>634</v>
      </c>
      <c r="R878" t="s">
        <v>635</v>
      </c>
      <c r="S878" t="s">
        <v>703</v>
      </c>
      <c r="T878">
        <f>23.8/2</f>
        <v>11.9</v>
      </c>
      <c r="U878" s="2">
        <f>Table1[[#This Row],[Coal Power Plant Size (MW) or Share]]*0.593*9057*211.9*10^(-9)</f>
        <v>1.3543065509610002E-2</v>
      </c>
      <c r="V878" s="2">
        <f>Table1[[#This Row],[Annual Emissions (MMTCO2)]]*40</f>
        <v>0.54172262038440011</v>
      </c>
      <c r="W878"/>
      <c r="X878">
        <f>23.8/2</f>
        <v>11.9</v>
      </c>
      <c r="Y878"/>
      <c r="Z878" s="1"/>
      <c r="AA878" s="1"/>
    </row>
    <row r="879" spans="1:27" ht="27" hidden="1" customHeight="1">
      <c r="A879" t="s">
        <v>156</v>
      </c>
      <c r="B879" t="s">
        <v>560</v>
      </c>
      <c r="C879" t="s">
        <v>126</v>
      </c>
      <c r="D879" s="6">
        <v>42700000</v>
      </c>
      <c r="E879"/>
      <c r="F879"/>
      <c r="G879"/>
      <c r="H879" t="s">
        <v>1594</v>
      </c>
      <c r="I879" t="s">
        <v>1826</v>
      </c>
      <c r="J879" s="28">
        <v>42030</v>
      </c>
      <c r="K879" t="s">
        <v>1450</v>
      </c>
      <c r="L879" t="s">
        <v>1595</v>
      </c>
      <c r="M879"/>
      <c r="N879"/>
      <c r="O879"/>
      <c r="P879"/>
      <c r="Q879" t="s">
        <v>634</v>
      </c>
      <c r="R879" t="s">
        <v>636</v>
      </c>
      <c r="S879" t="s">
        <v>703</v>
      </c>
      <c r="T879">
        <f>36.3/2</f>
        <v>18.149999999999999</v>
      </c>
      <c r="U879" s="2">
        <f>Table1[[#This Row],[Coal Power Plant Size (MW) or Share]]*0.593*9057*211.9*10^(-9)</f>
        <v>2.0656020083985E-2</v>
      </c>
      <c r="V879" s="2">
        <f>Table1[[#This Row],[Annual Emissions (MMTCO2)]]*40</f>
        <v>0.82624080335939998</v>
      </c>
      <c r="W879"/>
      <c r="X879">
        <f>36.3/2</f>
        <v>18.149999999999999</v>
      </c>
      <c r="Y879"/>
      <c r="Z879" s="1"/>
      <c r="AA879" s="1"/>
    </row>
    <row r="880" spans="1:27" ht="27" hidden="1" customHeight="1">
      <c r="A880" t="s">
        <v>156</v>
      </c>
      <c r="B880" t="s">
        <v>1746</v>
      </c>
      <c r="C880" t="s">
        <v>2030</v>
      </c>
      <c r="D880" s="6">
        <v>12000000</v>
      </c>
      <c r="E880"/>
      <c r="F880"/>
      <c r="G880"/>
      <c r="H880" t="s">
        <v>1596</v>
      </c>
      <c r="I880" t="s">
        <v>1855</v>
      </c>
      <c r="J880" s="28">
        <v>42050</v>
      </c>
      <c r="K880" t="s">
        <v>990</v>
      </c>
      <c r="L880" t="s">
        <v>1597</v>
      </c>
      <c r="M880"/>
      <c r="N880"/>
      <c r="O880"/>
      <c r="P880"/>
      <c r="Q880" t="s">
        <v>634</v>
      </c>
      <c r="R880" t="s">
        <v>636</v>
      </c>
      <c r="S880" t="s">
        <v>703</v>
      </c>
      <c r="T880">
        <f>32.1/2</f>
        <v>16.05</v>
      </c>
      <c r="U880" s="2">
        <f>Table1[[#This Row],[Coal Power Plant Size (MW) or Share]]*0.593*9057*211.9*10^(-9)</f>
        <v>1.8266067346995003E-2</v>
      </c>
      <c r="V880" s="2">
        <f>Table1[[#This Row],[Annual Emissions (MMTCO2)]]*40</f>
        <v>0.73064269387980008</v>
      </c>
      <c r="W880"/>
      <c r="X880">
        <f>32.1/2</f>
        <v>16.05</v>
      </c>
      <c r="Y880"/>
      <c r="Z880" s="1"/>
      <c r="AA880" s="1"/>
    </row>
    <row r="881" spans="1:27" ht="27" hidden="1" customHeight="1">
      <c r="A881" t="s">
        <v>156</v>
      </c>
      <c r="B881" t="s">
        <v>1746</v>
      </c>
      <c r="C881" t="s">
        <v>2030</v>
      </c>
      <c r="D881" s="6">
        <v>52000000</v>
      </c>
      <c r="E881"/>
      <c r="F881"/>
      <c r="G881"/>
      <c r="H881" t="s">
        <v>1703</v>
      </c>
      <c r="I881" t="s">
        <v>1773</v>
      </c>
      <c r="J881" s="28">
        <v>42050</v>
      </c>
      <c r="K881" t="s">
        <v>990</v>
      </c>
      <c r="L881" t="s">
        <v>1597</v>
      </c>
      <c r="M881"/>
      <c r="N881"/>
      <c r="O881"/>
      <c r="P881"/>
      <c r="Q881" t="s">
        <v>634</v>
      </c>
      <c r="R881" t="s">
        <v>636</v>
      </c>
      <c r="S881" t="s">
        <v>703</v>
      </c>
      <c r="T881">
        <f>97.15/2</f>
        <v>48.575000000000003</v>
      </c>
      <c r="U881" s="2">
        <f>Table1[[#This Row],[Coal Power Plant Size (MW) or Share]]*0.593*9057*211.9*10^(-9)</f>
        <v>5.5281882952042498E-2</v>
      </c>
      <c r="V881" s="2">
        <f>Table1[[#This Row],[Annual Emissions (MMTCO2)]]*40</f>
        <v>2.2112753180816997</v>
      </c>
      <c r="W881"/>
      <c r="X881">
        <f>97.15/2</f>
        <v>48.575000000000003</v>
      </c>
      <c r="Y881"/>
      <c r="Z881" s="1"/>
      <c r="AA881" s="1"/>
    </row>
    <row r="882" spans="1:27" ht="27" hidden="1" customHeight="1">
      <c r="A882" t="s">
        <v>156</v>
      </c>
      <c r="B882" t="s">
        <v>560</v>
      </c>
      <c r="C882" t="s">
        <v>126</v>
      </c>
      <c r="D882" s="6">
        <v>44000000</v>
      </c>
      <c r="E882" t="s">
        <v>578</v>
      </c>
      <c r="F882"/>
      <c r="G882"/>
      <c r="H882" t="s">
        <v>604</v>
      </c>
      <c r="I882" t="s">
        <v>672</v>
      </c>
      <c r="J882" s="28">
        <v>42074</v>
      </c>
      <c r="K882" t="s">
        <v>989</v>
      </c>
      <c r="L882" t="s">
        <v>78</v>
      </c>
      <c r="M882"/>
      <c r="N882"/>
      <c r="O882"/>
      <c r="P882"/>
      <c r="Q882" t="s">
        <v>634</v>
      </c>
      <c r="R882" t="s">
        <v>636</v>
      </c>
      <c r="S882" t="s">
        <v>646</v>
      </c>
      <c r="T882">
        <v>24.75</v>
      </c>
      <c r="U882" s="2">
        <f>Table1[[#This Row],[Coal Power Plant Size (MW) or Share]]*0.593*9057*211.9*10^(-9)</f>
        <v>2.8167300114525003E-2</v>
      </c>
      <c r="V882" s="2">
        <f>Table1[[#This Row],[Annual Emissions (MMTCO2)]]*40</f>
        <v>1.1266920045810001</v>
      </c>
      <c r="W882"/>
      <c r="X882">
        <v>24.75</v>
      </c>
      <c r="Y882"/>
      <c r="Z882" s="1"/>
      <c r="AA882" s="1"/>
    </row>
    <row r="883" spans="1:27" ht="27" hidden="1" customHeight="1">
      <c r="A883" t="s">
        <v>156</v>
      </c>
      <c r="B883" t="s">
        <v>560</v>
      </c>
      <c r="C883" t="s">
        <v>126</v>
      </c>
      <c r="D883" s="6">
        <v>80900000</v>
      </c>
      <c r="E883"/>
      <c r="F883"/>
      <c r="G883"/>
      <c r="H883" t="s">
        <v>1704</v>
      </c>
      <c r="I883" t="s">
        <v>1822</v>
      </c>
      <c r="J883" s="28">
        <v>42103</v>
      </c>
      <c r="K883" t="s">
        <v>990</v>
      </c>
      <c r="L883" t="s">
        <v>288</v>
      </c>
      <c r="M883"/>
      <c r="N883"/>
      <c r="O883"/>
      <c r="P883"/>
      <c r="Q883" t="s">
        <v>634</v>
      </c>
      <c r="R883" t="s">
        <v>636</v>
      </c>
      <c r="S883" t="s">
        <v>703</v>
      </c>
      <c r="T883">
        <v>148.5</v>
      </c>
      <c r="U883" s="2">
        <f>Table1[[#This Row],[Coal Power Plant Size (MW) or Share]]*0.593*9057*211.9*10^(-9)</f>
        <v>0.16900380068715001</v>
      </c>
      <c r="V883" s="2">
        <f>Table1[[#This Row],[Annual Emissions (MMTCO2)]]*40</f>
        <v>6.7601520274860007</v>
      </c>
      <c r="W883"/>
      <c r="X883">
        <v>148.5</v>
      </c>
      <c r="Y883"/>
      <c r="Z883" s="1"/>
      <c r="AA883" s="1"/>
    </row>
    <row r="884" spans="1:27" ht="27" hidden="1" customHeight="1">
      <c r="A884" t="s">
        <v>156</v>
      </c>
      <c r="B884" t="s">
        <v>560</v>
      </c>
      <c r="C884" t="s">
        <v>126</v>
      </c>
      <c r="D884" s="6">
        <v>250000000</v>
      </c>
      <c r="E884"/>
      <c r="F884"/>
      <c r="G884"/>
      <c r="H884" t="s">
        <v>1614</v>
      </c>
      <c r="I884" t="s">
        <v>1757</v>
      </c>
      <c r="J884" s="28">
        <v>42201</v>
      </c>
      <c r="K884" t="s">
        <v>993</v>
      </c>
      <c r="L884" t="s">
        <v>225</v>
      </c>
      <c r="M884"/>
      <c r="N884"/>
      <c r="O884"/>
      <c r="P884"/>
      <c r="Q884" t="s">
        <v>634</v>
      </c>
      <c r="R884" t="s">
        <v>1474</v>
      </c>
      <c r="S884" t="s">
        <v>703</v>
      </c>
      <c r="T884">
        <f>121/2</f>
        <v>60.5</v>
      </c>
      <c r="U884" s="2">
        <f>Table1[[#This Row],[Coal Power Plant Size (MW) or Share]]*0.593*9057*211.9*10^(-9)</f>
        <v>6.8853400279950003E-2</v>
      </c>
      <c r="V884" s="2">
        <f>Table1[[#This Row],[Annual Emissions (MMTCO2)]]*40</f>
        <v>2.7541360111980002</v>
      </c>
      <c r="W884"/>
      <c r="X884">
        <f>121/2</f>
        <v>60.5</v>
      </c>
      <c r="Y884"/>
      <c r="Z884" s="1"/>
      <c r="AA884" s="1"/>
    </row>
    <row r="885" spans="1:27" ht="27" hidden="1" customHeight="1">
      <c r="A885" t="s">
        <v>156</v>
      </c>
      <c r="B885" t="s">
        <v>560</v>
      </c>
      <c r="C885" t="s">
        <v>126</v>
      </c>
      <c r="D885" s="6">
        <v>15500000</v>
      </c>
      <c r="E885"/>
      <c r="F885"/>
      <c r="G885"/>
      <c r="H885" t="s">
        <v>1585</v>
      </c>
      <c r="I885" t="s">
        <v>1878</v>
      </c>
      <c r="J885" s="28">
        <v>42242</v>
      </c>
      <c r="K885" t="s">
        <v>990</v>
      </c>
      <c r="L885" t="s">
        <v>288</v>
      </c>
      <c r="M885"/>
      <c r="N885"/>
      <c r="O885"/>
      <c r="P885"/>
      <c r="Q885" t="s">
        <v>634</v>
      </c>
      <c r="R885" t="s">
        <v>635</v>
      </c>
      <c r="S885" t="s">
        <v>703</v>
      </c>
      <c r="T885">
        <v>14</v>
      </c>
      <c r="U885" s="2">
        <f>Table1[[#This Row],[Coal Power Plant Size (MW) or Share]]*0.593*9057*211.9*10^(-9)</f>
        <v>1.5933018246600001E-2</v>
      </c>
      <c r="V885" s="2">
        <f>Table1[[#This Row],[Annual Emissions (MMTCO2)]]*40</f>
        <v>0.63732072986400001</v>
      </c>
      <c r="W885"/>
      <c r="X885">
        <v>14</v>
      </c>
      <c r="Y885"/>
      <c r="Z885" s="1"/>
      <c r="AA885" s="1"/>
    </row>
    <row r="886" spans="1:27" ht="27" hidden="1" customHeight="1">
      <c r="A886" t="s">
        <v>156</v>
      </c>
      <c r="B886" t="s">
        <v>560</v>
      </c>
      <c r="C886" t="s">
        <v>126</v>
      </c>
      <c r="D886" s="6">
        <v>21800000</v>
      </c>
      <c r="E886"/>
      <c r="F886"/>
      <c r="G886"/>
      <c r="H886" t="s">
        <v>1608</v>
      </c>
      <c r="I886" t="s">
        <v>1941</v>
      </c>
      <c r="J886" s="28">
        <v>42516</v>
      </c>
      <c r="K886" t="s">
        <v>990</v>
      </c>
      <c r="L886" t="s">
        <v>1488</v>
      </c>
      <c r="M886"/>
      <c r="N886"/>
      <c r="O886"/>
      <c r="P886"/>
      <c r="Q886" t="s">
        <v>634</v>
      </c>
      <c r="R886" t="s">
        <v>635</v>
      </c>
      <c r="S886" t="s">
        <v>703</v>
      </c>
      <c r="T886">
        <f>9.8*2</f>
        <v>19.600000000000001</v>
      </c>
      <c r="U886" s="2">
        <f>Table1[[#This Row],[Coal Power Plant Size (MW) or Share]]*0.593*9057*211.9*10^(-9)</f>
        <v>2.2306225545240001E-2</v>
      </c>
      <c r="V886" s="2">
        <f>Table1[[#This Row],[Annual Emissions (MMTCO2)]]*40</f>
        <v>0.89224902180960008</v>
      </c>
      <c r="W886"/>
      <c r="X886">
        <f>9.8*2</f>
        <v>19.600000000000001</v>
      </c>
      <c r="Y886"/>
      <c r="Z886" s="1"/>
      <c r="AA886" s="1"/>
    </row>
    <row r="887" spans="1:27" ht="27" hidden="1" customHeight="1">
      <c r="A887" t="s">
        <v>156</v>
      </c>
      <c r="B887" t="s">
        <v>560</v>
      </c>
      <c r="C887" t="s">
        <v>126</v>
      </c>
      <c r="D887" s="6">
        <v>15000000</v>
      </c>
      <c r="E887"/>
      <c r="F887"/>
      <c r="G887"/>
      <c r="H887" t="s">
        <v>1487</v>
      </c>
      <c r="I887" t="s">
        <v>1933</v>
      </c>
      <c r="J887" s="28">
        <v>42538</v>
      </c>
      <c r="K887" t="s">
        <v>990</v>
      </c>
      <c r="L887" t="s">
        <v>1488</v>
      </c>
      <c r="M887"/>
      <c r="N887"/>
      <c r="O887"/>
      <c r="P887"/>
      <c r="Q887" t="s">
        <v>634</v>
      </c>
      <c r="R887" t="s">
        <v>635</v>
      </c>
      <c r="S887" t="s">
        <v>703</v>
      </c>
      <c r="T887">
        <f>(10.1+11.2)/2</f>
        <v>10.649999999999999</v>
      </c>
      <c r="U887" s="2">
        <f>Table1[[#This Row],[Coal Power Plant Size (MW) or Share]]*0.593*9057*211.9*10^(-9)</f>
        <v>1.2120474594734996E-2</v>
      </c>
      <c r="V887" s="2">
        <f>Table1[[#This Row],[Annual Emissions (MMTCO2)]]*40</f>
        <v>0.48481898378939986</v>
      </c>
      <c r="W887"/>
      <c r="X887">
        <f>(10.1+11.2)/2</f>
        <v>10.649999999999999</v>
      </c>
      <c r="Y887"/>
      <c r="Z887" s="1"/>
      <c r="AA887" s="1"/>
    </row>
    <row r="888" spans="1:27" ht="27" hidden="1" customHeight="1">
      <c r="A888" t="s">
        <v>156</v>
      </c>
      <c r="B888" t="s">
        <v>560</v>
      </c>
      <c r="C888" t="s">
        <v>126</v>
      </c>
      <c r="D888" s="6">
        <v>14000000</v>
      </c>
      <c r="E888"/>
      <c r="F888"/>
      <c r="G888"/>
      <c r="H888" t="s">
        <v>1487</v>
      </c>
      <c r="I888" t="s">
        <v>1933</v>
      </c>
      <c r="J888" s="28">
        <v>42538</v>
      </c>
      <c r="K888" t="s">
        <v>990</v>
      </c>
      <c r="L888" t="s">
        <v>1488</v>
      </c>
      <c r="M888"/>
      <c r="N888"/>
      <c r="O888"/>
      <c r="P888"/>
      <c r="Q888" t="s">
        <v>634</v>
      </c>
      <c r="R888" t="s">
        <v>635</v>
      </c>
      <c r="S888" t="s">
        <v>703</v>
      </c>
      <c r="T888">
        <f>(10.1+11.2)/2</f>
        <v>10.649999999999999</v>
      </c>
      <c r="U888" s="2">
        <f>Table1[[#This Row],[Coal Power Plant Size (MW) or Share]]*0.593*9057*211.9*10^(-9)</f>
        <v>1.2120474594734996E-2</v>
      </c>
      <c r="V888" s="2">
        <f>Table1[[#This Row],[Annual Emissions (MMTCO2)]]*40</f>
        <v>0.48481898378939986</v>
      </c>
      <c r="W888"/>
      <c r="X888">
        <f>(10.1+11.2)/2</f>
        <v>10.649999999999999</v>
      </c>
      <c r="Y888"/>
      <c r="Z888" s="1"/>
      <c r="AA888" s="1"/>
    </row>
    <row r="889" spans="1:27" ht="27" hidden="1" customHeight="1">
      <c r="A889" t="s">
        <v>156</v>
      </c>
      <c r="B889" t="s">
        <v>560</v>
      </c>
      <c r="C889" t="s">
        <v>126</v>
      </c>
      <c r="D889" s="6">
        <v>97700000</v>
      </c>
      <c r="E889"/>
      <c r="F889"/>
      <c r="G889"/>
      <c r="H889" t="s">
        <v>1513</v>
      </c>
      <c r="I889" t="s">
        <v>1952</v>
      </c>
      <c r="J889" s="28">
        <v>42590</v>
      </c>
      <c r="K889" t="s">
        <v>989</v>
      </c>
      <c r="L889" t="s">
        <v>78</v>
      </c>
      <c r="M889"/>
      <c r="N889"/>
      <c r="O889"/>
      <c r="P889"/>
      <c r="Q889" t="s">
        <v>634</v>
      </c>
      <c r="R889" t="s">
        <v>636</v>
      </c>
      <c r="S889" t="s">
        <v>703</v>
      </c>
      <c r="T889">
        <v>50</v>
      </c>
      <c r="U889" s="2">
        <f>Table1[[#This Row],[Coal Power Plant Size (MW) or Share]]*0.593*9057*211.9*10^(-9)</f>
        <v>5.6903636595000001E-2</v>
      </c>
      <c r="V889" s="2">
        <f>Table1[[#This Row],[Annual Emissions (MMTCO2)]]*40</f>
        <v>2.2761454637999998</v>
      </c>
      <c r="W889"/>
      <c r="X889">
        <v>50</v>
      </c>
      <c r="Y889"/>
      <c r="Z889" s="1"/>
      <c r="AA889" s="1"/>
    </row>
    <row r="890" spans="1:27" ht="27" hidden="1" customHeight="1">
      <c r="A890" t="s">
        <v>156</v>
      </c>
      <c r="B890" t="s">
        <v>560</v>
      </c>
      <c r="C890" t="s">
        <v>126</v>
      </c>
      <c r="D890" s="6">
        <v>120000000</v>
      </c>
      <c r="E890" t="s">
        <v>573</v>
      </c>
      <c r="F890"/>
      <c r="G890"/>
      <c r="H890" t="s">
        <v>595</v>
      </c>
      <c r="I890" t="s">
        <v>657</v>
      </c>
      <c r="J890" s="28">
        <v>42705</v>
      </c>
      <c r="K890" t="s">
        <v>991</v>
      </c>
      <c r="L890" t="s">
        <v>67</v>
      </c>
      <c r="M890"/>
      <c r="N890"/>
      <c r="O890"/>
      <c r="P890"/>
      <c r="Q890" t="s">
        <v>634</v>
      </c>
      <c r="R890" t="s">
        <v>636</v>
      </c>
      <c r="S890" t="s">
        <v>703</v>
      </c>
      <c r="T890">
        <v>75</v>
      </c>
      <c r="U890" s="2">
        <f>Table1[[#This Row],[Coal Power Plant Size (MW) or Share]]*0.593*9057*211.9*10^(-9)</f>
        <v>8.5355454892500002E-2</v>
      </c>
      <c r="V890" s="2">
        <f>Table1[[#This Row],[Annual Emissions (MMTCO2)]]*40</f>
        <v>3.4142181957000002</v>
      </c>
      <c r="W890"/>
      <c r="X890">
        <v>75</v>
      </c>
      <c r="Y890"/>
      <c r="Z890" s="1"/>
      <c r="AA890" s="1"/>
    </row>
    <row r="891" spans="1:27" ht="27" hidden="1" customHeight="1">
      <c r="A891" t="s">
        <v>156</v>
      </c>
      <c r="B891" t="s">
        <v>560</v>
      </c>
      <c r="C891" t="s">
        <v>1465</v>
      </c>
      <c r="D891" s="6">
        <v>95000000</v>
      </c>
      <c r="E891" t="s">
        <v>1181</v>
      </c>
      <c r="F891"/>
      <c r="G891"/>
      <c r="H891" t="s">
        <v>1183</v>
      </c>
      <c r="I891" t="s">
        <v>751</v>
      </c>
      <c r="J891" s="28">
        <v>54789</v>
      </c>
      <c r="K891" t="s">
        <v>989</v>
      </c>
      <c r="L891" t="s">
        <v>78</v>
      </c>
      <c r="M891" t="s">
        <v>1182</v>
      </c>
      <c r="N891"/>
      <c r="O891"/>
      <c r="P891"/>
      <c r="Q891" t="s">
        <v>634</v>
      </c>
      <c r="R891" t="s">
        <v>636</v>
      </c>
      <c r="S891" t="s">
        <v>476</v>
      </c>
      <c r="T891">
        <v>133</v>
      </c>
      <c r="U891" s="2">
        <f>Table1[[#This Row],[Coal Power Plant Size (MW) or Share]]*0.593*9057*211.9*10^(-9)</f>
        <v>0.15136367334270001</v>
      </c>
      <c r="V891" s="2">
        <f>Table1[[#This Row],[Annual Emissions (MMTCO2)]]*40</f>
        <v>6.054546933708</v>
      </c>
      <c r="W891"/>
      <c r="X891">
        <v>133</v>
      </c>
      <c r="Y891"/>
      <c r="Z891" s="1"/>
      <c r="AA891" s="1"/>
    </row>
    <row r="892" spans="1:27" ht="27" hidden="1" customHeight="1">
      <c r="A892" t="s">
        <v>156</v>
      </c>
      <c r="B892" t="s">
        <v>560</v>
      </c>
      <c r="C892" t="s">
        <v>126</v>
      </c>
      <c r="D892" s="6">
        <v>233000000</v>
      </c>
      <c r="E892"/>
      <c r="F892"/>
      <c r="G892"/>
      <c r="H892" t="s">
        <v>1572</v>
      </c>
      <c r="I892" t="s">
        <v>1857</v>
      </c>
      <c r="J892" s="28">
        <v>54789</v>
      </c>
      <c r="K892" t="s">
        <v>1482</v>
      </c>
      <c r="L892" t="s">
        <v>705</v>
      </c>
      <c r="M892"/>
      <c r="N892"/>
      <c r="O892"/>
      <c r="P892"/>
      <c r="Q892" t="s">
        <v>634</v>
      </c>
      <c r="R892" t="s">
        <v>636</v>
      </c>
      <c r="S892" t="s">
        <v>476</v>
      </c>
      <c r="T892">
        <v>100</v>
      </c>
      <c r="U892" s="2">
        <f>Table1[[#This Row],[Coal Power Plant Size (MW) or Share]]*0.593*9057*211.9*10^(-9)</f>
        <v>0.11380727319</v>
      </c>
      <c r="V892" s="2">
        <f>Table1[[#This Row],[Annual Emissions (MMTCO2)]]*40</f>
        <v>4.5522909275999996</v>
      </c>
      <c r="W892"/>
      <c r="X892">
        <v>100</v>
      </c>
      <c r="Y892"/>
      <c r="Z892" s="1"/>
      <c r="AA892" s="1"/>
    </row>
    <row r="893" spans="1:27" ht="27" hidden="1" customHeight="1">
      <c r="A893" t="s">
        <v>156</v>
      </c>
      <c r="B893" t="s">
        <v>560</v>
      </c>
      <c r="C893" t="s">
        <v>126</v>
      </c>
      <c r="D893" s="6">
        <v>14000000</v>
      </c>
      <c r="E893"/>
      <c r="F893"/>
      <c r="G893"/>
      <c r="H893" t="s">
        <v>1591</v>
      </c>
      <c r="I893" t="s">
        <v>1954</v>
      </c>
      <c r="J893" s="28">
        <v>54789</v>
      </c>
      <c r="K893" t="s">
        <v>1482</v>
      </c>
      <c r="L893" t="s">
        <v>197</v>
      </c>
      <c r="M893"/>
      <c r="N893"/>
      <c r="O893"/>
      <c r="P893"/>
      <c r="Q893" t="s">
        <v>634</v>
      </c>
      <c r="R893" t="s">
        <v>635</v>
      </c>
      <c r="S893" t="s">
        <v>476</v>
      </c>
      <c r="T893">
        <f>55/2</f>
        <v>27.5</v>
      </c>
      <c r="U893" s="2">
        <f>Table1[[#This Row],[Coal Power Plant Size (MW) or Share]]*0.593*9057*211.9*10^(-9)</f>
        <v>3.1297000127249994E-2</v>
      </c>
      <c r="V893" s="2">
        <f>Table1[[#This Row],[Annual Emissions (MMTCO2)]]*40</f>
        <v>1.2518800050899999</v>
      </c>
      <c r="W893"/>
      <c r="X893">
        <f>55/2</f>
        <v>27.5</v>
      </c>
      <c r="Y893"/>
      <c r="Z893" s="1"/>
      <c r="AA893" s="1"/>
    </row>
    <row r="894" spans="1:27" ht="27" hidden="1" customHeight="1">
      <c r="A894" t="s">
        <v>156</v>
      </c>
      <c r="B894" t="s">
        <v>560</v>
      </c>
      <c r="C894" t="s">
        <v>126</v>
      </c>
      <c r="D894" s="6">
        <v>400000000</v>
      </c>
      <c r="E894"/>
      <c r="F894"/>
      <c r="G894"/>
      <c r="H894" t="s">
        <v>1649</v>
      </c>
      <c r="I894" t="s">
        <v>1866</v>
      </c>
      <c r="J894" s="28">
        <v>54789</v>
      </c>
      <c r="K894" t="s">
        <v>1482</v>
      </c>
      <c r="L894" t="s">
        <v>31</v>
      </c>
      <c r="M894"/>
      <c r="N894"/>
      <c r="O894"/>
      <c r="P894"/>
      <c r="Q894" t="s">
        <v>634</v>
      </c>
      <c r="R894" t="s">
        <v>1474</v>
      </c>
      <c r="S894" t="s">
        <v>476</v>
      </c>
      <c r="T894">
        <f>100/3</f>
        <v>33.333333333333336</v>
      </c>
      <c r="U894" s="2">
        <f>Table1[[#This Row],[Coal Power Plant Size (MW) or Share]]*0.593*9057*211.9*10^(-9)</f>
        <v>3.7935757729999998E-2</v>
      </c>
      <c r="V894" s="2">
        <f>Table1[[#This Row],[Annual Emissions (MMTCO2)]]*40</f>
        <v>1.5174303091999999</v>
      </c>
      <c r="W894"/>
      <c r="X894">
        <f>100/3</f>
        <v>33.333333333333336</v>
      </c>
      <c r="Y894"/>
      <c r="Z894" s="1"/>
      <c r="AA894" s="1"/>
    </row>
    <row r="895" spans="1:27" ht="27" hidden="1" customHeight="1">
      <c r="A895" t="s">
        <v>156</v>
      </c>
      <c r="B895" t="s">
        <v>560</v>
      </c>
      <c r="C895" t="s">
        <v>126</v>
      </c>
      <c r="D895" s="6">
        <v>250000000</v>
      </c>
      <c r="E895"/>
      <c r="F895"/>
      <c r="G895"/>
      <c r="H895" t="s">
        <v>1683</v>
      </c>
      <c r="I895" t="s">
        <v>1768</v>
      </c>
      <c r="J895" s="28">
        <v>54789</v>
      </c>
      <c r="K895" t="s">
        <v>1482</v>
      </c>
      <c r="L895" t="s">
        <v>33</v>
      </c>
      <c r="M895"/>
      <c r="N895"/>
      <c r="O895"/>
      <c r="P895"/>
      <c r="Q895" t="s">
        <v>634</v>
      </c>
      <c r="R895" t="s">
        <v>636</v>
      </c>
      <c r="S895" t="s">
        <v>476</v>
      </c>
      <c r="T895">
        <v>158</v>
      </c>
      <c r="U895" s="2">
        <f>Table1[[#This Row],[Coal Power Plant Size (MW) or Share]]*0.593*9057*211.9*10^(-9)</f>
        <v>0.17981549164019997</v>
      </c>
      <c r="V895" s="2">
        <f>Table1[[#This Row],[Annual Emissions (MMTCO2)]]*40</f>
        <v>7.1926196656079986</v>
      </c>
      <c r="W895"/>
      <c r="X895">
        <v>158</v>
      </c>
      <c r="Y895"/>
      <c r="Z895" s="1"/>
      <c r="AA895" s="1"/>
    </row>
    <row r="896" spans="1:27" ht="27" hidden="1" customHeight="1">
      <c r="A896" t="s">
        <v>156</v>
      </c>
      <c r="B896" t="s">
        <v>560</v>
      </c>
      <c r="C896" t="s">
        <v>126</v>
      </c>
      <c r="D896" s="6">
        <v>74020000</v>
      </c>
      <c r="E896"/>
      <c r="F896"/>
      <c r="G896"/>
      <c r="H896" t="s">
        <v>590</v>
      </c>
      <c r="I896" t="s">
        <v>652</v>
      </c>
      <c r="J896" s="28">
        <v>54789</v>
      </c>
      <c r="K896" t="s">
        <v>989</v>
      </c>
      <c r="L896" t="s">
        <v>26</v>
      </c>
      <c r="M896" t="s">
        <v>642</v>
      </c>
      <c r="N896"/>
      <c r="O896"/>
      <c r="P896"/>
      <c r="Q896" t="s">
        <v>634</v>
      </c>
      <c r="R896" t="s">
        <v>635</v>
      </c>
      <c r="S896" t="s">
        <v>476</v>
      </c>
      <c r="T896">
        <v>100</v>
      </c>
      <c r="U896">
        <f>Table1[[#This Row],[Coal Power Plant Size (MW) or Share]]*0.593*9057*211.9*10^(-9)</f>
        <v>0.11380727319</v>
      </c>
      <c r="V896">
        <f>Table1[[#This Row],[Annual Emissions (MMTCO2)]]*40</f>
        <v>4.5522909275999996</v>
      </c>
      <c r="W896"/>
      <c r="X896">
        <v>100</v>
      </c>
      <c r="Y896"/>
      <c r="Z896" s="1"/>
      <c r="AA896" s="1"/>
    </row>
    <row r="897" spans="1:27" ht="33.75" customHeight="1">
      <c r="A897" s="17" t="s">
        <v>412</v>
      </c>
      <c r="B897" s="17"/>
      <c r="D897" s="36">
        <f>SUBTOTAL(109,Table1[Amount (in USD)])</f>
        <v>2274800000</v>
      </c>
      <c r="E897" s="24"/>
      <c r="F897" s="24"/>
      <c r="G897" s="24"/>
      <c r="H897" s="26"/>
      <c r="I897" s="17"/>
      <c r="J897" s="35"/>
      <c r="K897" s="18"/>
      <c r="M897" s="16"/>
      <c r="N897" s="19"/>
      <c r="R897" s="16"/>
      <c r="S897" s="19"/>
      <c r="T897" s="20">
        <f>SUBTOTAL(109,Table1[Coal Power Plant Size (MW) or Share])</f>
        <v>8275</v>
      </c>
      <c r="U897" s="21">
        <f>SUBTOTAL(109,Table1[Annual Emissions (MMTCO2)])</f>
        <v>9.4175518564724996</v>
      </c>
      <c r="V897" s="20">
        <f>SUBTOTAL(109,Table1[Lifetime Emissions (MMTCO2)])</f>
        <v>376.70207425890004</v>
      </c>
      <c r="W897" s="20">
        <f>SUBTOTAL(109,Table1[Coal Mine Size (Mtpa)])</f>
        <v>0</v>
      </c>
      <c r="X897" s="20"/>
      <c r="Y897" s="16"/>
      <c r="Z897" s="1"/>
      <c r="AA897" s="1"/>
    </row>
  </sheetData>
  <hyperlinks>
    <hyperlink ref="I383" r:id="rId1"/>
    <hyperlink ref="O386" r:id="rId2"/>
    <hyperlink ref="I97" r:id="rId3"/>
    <hyperlink ref="P87" r:id="rId4"/>
    <hyperlink ref="P67" r:id="rId5"/>
    <hyperlink ref="I465" r:id="rId6"/>
    <hyperlink ref="I464" r:id="rId7"/>
    <hyperlink ref="P152" r:id="rId8"/>
    <hyperlink ref="I152" r:id="rId9"/>
    <hyperlink ref="I61" r:id="rId10"/>
    <hyperlink ref="I690" r:id="rId11"/>
    <hyperlink ref="O254" r:id="rId12"/>
    <hyperlink ref="I799" r:id="rId13"/>
    <hyperlink ref="O795" r:id="rId14"/>
    <hyperlink ref="I795" r:id="rId15"/>
    <hyperlink ref="P153" r:id="rId16"/>
    <hyperlink ref="P48" r:id="rId17" display="http://www.4-traders.com/PT-TAMBANG-BATUBARA-BUKIT-6496448/news/PT-Tambang-Batubara-Bukit-Asam-Tbk-PTBA-Journey-2015-21907169/?iCStream=1"/>
    <hyperlink ref="I811" r:id="rId18"/>
    <hyperlink ref="O390" r:id="rId19"/>
    <hyperlink ref="P57" r:id="rId20" display="http://www.4-traders.com/POWER-CONSTRUCTION-CORP-O-9950512/news/Power-Construction-of-China-PCCC-joined-Indonesia-Coal-fired-Power-Plant-Started-23277097/"/>
    <hyperlink ref="I57" r:id="rId21"/>
    <hyperlink ref="O129" r:id="rId22"/>
    <hyperlink ref="I129" r:id="rId23"/>
    <hyperlink ref="I426" r:id="rId24"/>
    <hyperlink ref="I775" r:id="rId25"/>
    <hyperlink ref="O82" r:id="rId26" display="http://www.sinosure.com.cn/sinosure/xwzx/xwgj/images/20160128/33262.pdf"/>
    <hyperlink ref="P845" r:id="rId27"/>
    <hyperlink ref="I89" r:id="rId28"/>
    <hyperlink ref="O100" r:id="rId29"/>
    <hyperlink ref="I171" r:id="rId30"/>
    <hyperlink ref="P70" r:id="rId31" display="http://bankwatch.org/our-work/projects/banovici-lignite-power-plant-bosnia-and-herzegovina"/>
    <hyperlink ref="O72" r:id="rId32"/>
    <hyperlink ref="I62" r:id="rId33"/>
    <hyperlink ref="I113" r:id="rId34"/>
    <hyperlink ref="I104" r:id="rId35"/>
    <hyperlink ref="P85" r:id="rId36" display="http://www.sourcewatch.org/index.php/Aboano_power_station"/>
    <hyperlink ref="O816" r:id="rId37"/>
    <hyperlink ref="O409" r:id="rId38"/>
    <hyperlink ref="I153" r:id="rId39"/>
    <hyperlink ref="I810" r:id="rId40"/>
    <hyperlink ref="O364" r:id="rId41"/>
    <hyperlink ref="I863" r:id="rId42"/>
    <hyperlink ref="P863" r:id="rId43" display="http://nangluongvietnam.vn"/>
    <hyperlink ref="I112" r:id="rId44"/>
    <hyperlink ref="P62" r:id="rId45"/>
    <hyperlink ref="O59" r:id="rId46"/>
    <hyperlink ref="I110" r:id="rId47"/>
    <hyperlink ref="I54" r:id="rId48"/>
    <hyperlink ref="I142" r:id="rId49"/>
    <hyperlink ref="P94" r:id="rId50"/>
    <hyperlink ref="P95" r:id="rId51"/>
    <hyperlink ref="P46" r:id="rId52"/>
    <hyperlink ref="O88" r:id="rId53"/>
    <hyperlink ref="N53" r:id="rId54"/>
    <hyperlink ref="P53" r:id="rId55"/>
    <hyperlink ref="O53" r:id="rId56"/>
    <hyperlink ref="I33" r:id="rId57"/>
    <hyperlink ref="I58" r:id="rId58"/>
    <hyperlink ref="O56" r:id="rId59"/>
    <hyperlink ref="I56" r:id="rId60"/>
    <hyperlink ref="I157" r:id="rId61"/>
    <hyperlink ref="I406" r:id="rId62"/>
    <hyperlink ref="O67" r:id="rId63"/>
    <hyperlink ref="I151" r:id="rId64"/>
    <hyperlink ref="I805" r:id="rId65"/>
    <hyperlink ref="I362" r:id="rId66"/>
    <hyperlink ref="O69" r:id="rId67"/>
    <hyperlink ref="O96" r:id="rId68"/>
    <hyperlink ref="O820" r:id="rId69"/>
    <hyperlink ref="O849" r:id="rId70"/>
    <hyperlink ref="I83" r:id="rId71"/>
    <hyperlink ref="I82" r:id="rId72"/>
    <hyperlink ref="I371" r:id="rId73"/>
    <hyperlink ref="I340" r:id="rId74"/>
    <hyperlink ref="I55" r:id="rId75"/>
    <hyperlink ref="I800" r:id="rId76"/>
    <hyperlink ref="I77" r:id="rId77" location=".WIetNFMrLIV"/>
    <hyperlink ref="O84" r:id="rId78" display="http://agenda.ge/news/42103/eng"/>
    <hyperlink ref="I154" r:id="rId79"/>
    <hyperlink ref="I100" r:id="rId80"/>
    <hyperlink ref="I90" r:id="rId81"/>
    <hyperlink ref="I73" r:id="rId82"/>
    <hyperlink ref="I849" r:id="rId83"/>
    <hyperlink ref="I820" r:id="rId84"/>
    <hyperlink ref="I49" r:id="rId85"/>
    <hyperlink ref="I891" r:id="rId86"/>
    <hyperlink ref="I46" r:id="rId87"/>
    <hyperlink ref="I531" r:id="rId88"/>
    <hyperlink ref="I22" r:id="rId89"/>
    <hyperlink ref="I588" r:id="rId90"/>
    <hyperlink ref="I654" r:id="rId91"/>
    <hyperlink ref="I837" r:id="rId92"/>
    <hyperlink ref="I9" r:id="rId93"/>
    <hyperlink ref="I75" r:id="rId94"/>
    <hyperlink ref="O412" r:id="rId95"/>
    <hyperlink ref="O363" r:id="rId96"/>
    <hyperlink ref="O615" r:id="rId97"/>
    <hyperlink ref="O616" r:id="rId98"/>
    <hyperlink ref="O617" r:id="rId99"/>
    <hyperlink ref="O618" r:id="rId100"/>
    <hyperlink ref="I567" r:id="rId101"/>
    <hyperlink ref="I818" r:id="rId102"/>
    <hyperlink ref="O819" r:id="rId103"/>
    <hyperlink ref="I175" r:id="rId104"/>
    <hyperlink ref="I624" r:id="rId105"/>
    <hyperlink ref="I623" r:id="rId106"/>
    <hyperlink ref="I356" r:id="rId107"/>
  </hyperlinks>
  <pageMargins left="0.7" right="0.7" top="0.75" bottom="0.75" header="0.3" footer="0.3"/>
  <pageSetup scale="10" orientation="landscape" r:id="rId108"/>
  <tableParts count="1">
    <tablePart r:id="rId10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V i s u a l i z a t i o n L S t a t e   x m l n s : x s i = " h t t p : / / w w w . w 3 . o r g / 2 0 0 1 / X M L S c h e m a - i n s t a n c e "   x m l n s : x s d = " h t t p : / / w w w . w 3 . o r g / 2 0 0 1 / X M L S c h e m a "   x m l n s = " h t t p : / / m i c r o s o f t . d a t a . v i s u a l i z a t i o n . C l i e n t . E x c e l . L S t a t e / 1 . 0 " > < c g > H 4 s I A A A A A A A E A O 1 d 2 2 4 c x x H 9 l Q U B I 8 n D D v t + E S g K F C 0 p j E T F E C U j 8 d t w d 7 S c c D m j z M 6 K J n 8 t D / m k / E J O z 2 U v N A 2 3 W m 4 D D Q g w L P C y 1 N E e V n f V q V M 1 / / v P f 4 + e / X y z n H w u m l V Z V 0 8 P a E Y O J k U 1 q + d l t X h 6 s G 4 / T s 3 B s + O j 5 / j w T d 6 + q a v T f H Z V T P C i a v X k 5 1 X 5 9 O C q b T 8 9 O T y 8 v b 3 N b n l W N 4 t D R g g 9 / M f 5 m w t 8 5 0 0 + L a t V m 1 e z 4 m D z q v l v v + r g + O h s 1 b 9 g 8 8 0 3 5 a y p V / X H N p v n b Z 5 9 L l f r f F n e 5 y 2 g Z 4 u i 5 v N D h x + v n F w / P X g 2 q 9 d V 2 9 y 9 K x b u n 3 a e z / N F v p r l D b 7 h x 3 y 5 L i Z X s 6 c H b b M u 8 I l X R f 2 u W N X L t f t Z q w c f T 5 b t 0 4 M p t R n T j F t B D W F W G 8 k O J k u 8 Z U J l y h r B m W W M K 8 4 M x T u I F 5 z u / v X 4 K 1 7 W z U 3 e t s X 8 Z D 5 v i t X q e I v o 6 P A X X z w a v u t l W S z n A L R q G 1 A w w T v + p C q X A + 7 J 4 R / 5 h T 3 A P Z 7 j o 8 M H O A / 3 3 k l 8 f e 9 j / E M O u / c e f 5 7 9 C k / r Z V s u 8 7 Z o 8 u U e U x / z 5 e q X V L m 3 4 D d / 5 F 1 e 3 Y T y z k j G O a E C l A s j u a S q p 9 2 q T D J q 8 L u u D J e W a + l L e 4 8 m F c 5 H t N E I v 6 j X 7 d V 3 j J x 8 b M p Z v k e 5 f 3 A y m x G h q B G S W 2 0 F Q r F n i c m M K G a 0 l Y p x r S 3 3 J K k D N e k h J c L U P u R o d L 2 t W 5 B V z o u q L T + W x X y P s K + I 0 f o + v 7 k s / 9 2 d x k H H s 8 6 k l E Y J z g U l S g j E o z u e u c y s l A q / E Z Y y a b V C / P o d z x t E i f w C n O 8 A j k b / 8 3 p V l T l + A / J q j v / / t W j u i 0 X 9 u a w C I 1 e I j C r J O U P U U m M R v z 1 t V G f a E i Y o / h N S E m 0 8 a e s B T g B v s g M u E Q p / D X w 0 O i + a E i y + y a v r Q P 5 A k 7 G U c y m M 5 k o i Q e r 5 M y R T h m g m C U I O h 6 / v 7 Q h A k w 5 O I o z t 4 I 1 G 0 o v F 3 a d 2 7 5 z 1 v h i Z y r R U l C B v 6 U l w R y I u S 6 N w H m o i D S V S K O s Z W x 2 Q R I g Z s E Y j 5 b R u C 4 T O / E 9 n n + u y c Y l p w K 2 F O 8 s a L Z F W W i W s k m Z I W 6 Y S l x m T W i i O w w 8 5 J j 7 v d W k B T H M 3 O a 3 z V Z s I T 3 u I o 7 H 1 P K 8 W y 3 x e r K 7 C i G I 8 0 6 g C i B B C C U p x 4 P X H n E V 1 Q J R k L v U k K A a 4 b / G 3 B Z Q I T 7 u A o 9 F 0 / u L t C Y K q L 9 n 3 m A r P L F / f N Y u 7 + + 6 n f l p f L s v Z 3 s / 1 P k k F z U A 9 l z g u E b E 9 + 1 q 4 n J M x K q V W V F P j m 6 T 0 m J w s k g j 7 u 4 C j s f 9 D f l 2 6 9 y S M I N x q l n F G r c s 7 j N q E q L I Z l 1 o L x o m V G h H q e 5 a O c B K h a A s 3 G k H P 6 3 Z 1 m 4 e m + l P G M m q U l o x T i 4 z R c o R L l 4 / w z F C B / F + g V v d N F E c s i b C z h R u N n d O r 4 C q M Q 8 y S n E D f Y p o K i J k D M 0 g c M 6 s l a m q O 9 I R 0 j H n l I R 2 W R K g Z s E b j 5 a R Z O L E k O G y 4 z o j G s S a Y 4 p Y q M i q Q U y U y I w V q Y y Q l z F g E j 2 e W u E G U C E M 7 e K O x 9 H 7 d X B d 3 Y V c P h / o o K d J D y m k n B g / h w 0 V m O e H c G s p x N Q m n S n q F T w 8 m E X Z G s N G o + e G q X J a f P p V V s Q r j h 9 K M U q Y U k g L I 9 d L S 8 X j D j Q S B Q m j k B Y Y g a / D N 3 n c Q J U L S H u J o T L 1 q i g K N v q B a G E G k c P P g p B M G o d I l 0 1 1 2 Q D O D 3 g t o 4 p Y Y Z a n w D K I e T C L 8 j G C j U X O e L / P b M o y a K e V o d r k s W l k C R V a 6 H L o T 1 5 G 5 Q f q D 2 q 4 1 O i / + N 1 C P J h F u R r D R u D l Z 4 0 e j l R 2 o w U 7 R 5 Z L o R w t c P y h 0 I J u P I j o u I E m g V 0 B k 4 u i P e d e n G 0 C J M L S D N x p J P 7 n + V C h D C C A h D d q T l C N l s 4 Y M C g J z + r m B R s 4 N x b 2 k r f Y 8 3 H o 0 i d A z g o 3 G z W v Y Q j 7 X Y Y e b Q A 6 A N x 9 X C 1 c C i i u B G t 7 d O w T 3 D k V V Z H G u E U j l v o 3 D H k w i 1 I x g o 1 H z P q / u c 7 Q M w 8 i Z K q e v 4 v 6 n C m n 0 j v C K k w 3 V q m X Q 3 S D s f M H R N u J J h J 8 t 3 G g M v S 6 q u 0 B 6 S A b h U 0 J T c / q n R H 7 t S t A u M d B I D K w x F t I 4 V 1 + i j D o w i X D T v X F H h 9 G I O Y X U N g 9 k R j E Q w F z C j A J U U 2 T P P T F T C z 8 E t F H G h O v Y I n J 8 m 3 8 9 m k S o G c F G 4 + b d e r U K P d Q U z 2 B F g R R q G c S c r a D j 1 D a X R h s G x c 1 Z I X z L 0 R 5 M I t S M Y K N R 8 3 3 h 3 H 7 X Y R e O V B l k H K 0 Q O A I N W D N W O t Z 1 e i w M D d C p p b P 8 + W Y D A 5 p E y N m g j c b O 2 a r J i 3 1 n p 3 c P j k M K o A L N A / h K U P B s G g h I B h A 3 + C x F B 8 j A g e u r s / V g E u F m B B u N m n f 1 T X i m J i Q u H F S f 1 O B k I w p d 8 i G N h g O T g C p k B 5 2 9 y 5 u b A U 0 i 5 G z Q R m P n r M 2 X g f o 0 S h z 4 H m G M Z R T d N 2 e C d T k a Z Z l A C C F 9 l r D Y I U / z r T 0 7 J I n w M m C N x s o p V A E M S w R m a a A A 0 j N a 0 1 C n G S P o T g / U E J Q 3 1 B U 8 E E S R R j M I 1 l 6 N g x F O I u x s 4 U Y j 6 M P J i 7 B M A J Y f 6 N G Q P F G A U q i f Y s i g J T Q 1 j v P N d X W 6 N r a v H v 2 h K j H 9 M T l p 8 s v J i 5 u y w Y z D K h G e H o c e j b O 3 5 a J o Q m P K Z W p W O l s j U 1 C m z c i b Q R f V a W 0 u b / A e 1 h i Q J E L T B m 0 0 Z s Z h j d d 1 U w S e e f A a Q O 9 k A l 4 6 b a G E C l w 7 / X U E N y R l G s N V G y e 4 1 5 n X D z 5 0 i B L h a Q 9 x N K 7 g a 1 g G 9 u K m m J q A h 4 o h l Q Z H n G 6 y u a m m m Y J I i i 6 D w T g N s / 7 y g U O T C D / d O x d T 2 H F O H T g S 3 z / / f u 9 u C j c 5 P m / y + z K w q p p S K N 2 w t s I i T m A W d w a G P i K n k s H 9 w y n V S E C 4 6 7 z 6 C h I 9 n E T Y H s F G C 8 T v 6 5 u y w m x b 9 d U m V M y g E j T z I E I Y 2 p d T A 1 O a Y F y G o b W E d s U X + Z A 3 2 C b v i t 4 e m w h r j w G P x u A P 9 R I D R X u x 6 i 1 a I I i o w L g w I c g a 2 V a J B Z e o l 7 X E + c o F + h u + K X 6 P J R G W R r D R m H l 1 F e x H 1 f A L Q w l 3 B x 9 G L y C J D 7 F E M 0 b g g M T A q M C x h y w F R Z l X I t J h S Y S Y A W s 0 X s 6 L n 8 t Z Y E c W l Z f F M Q Z t A r c R d b X X y A x h G f q A 3 F q L P 9 z g m S c z P Z p E q B n B R u O m r + Z w G b 3 G S o F 5 f R N 4 r q E O h k y O B p O B g r Q V / K Y s Y 6 6 9 A S u K R o 4 I M 7 6 v V D 5 U m Q O q R N h 6 C D o a a + / z f 5 V f M x / B T Y Y 5 e K 0 w U A Y j k O g G o V 3 d h d T B O I s D 8 r x h T N A z q L a A E q F q F 3 A 0 m r o 6 9 H f N 7 c / r a l E H m 8 O w n g S 5 O 0 p t a j R B U N I h u X f N R s j 0 g y b v O 3 U x Y k m E 8 S 3 c a H x f 5 O u 5 m 6 F 2 s l 6 o Z O U u P L i Q 3 R Q h a C H M Z R w u N D E c L + A p x 3 S Z 4 G 6 8 0 D M w O 0 i d z l i m Y q X Y h x y P r K I q F g / 2 y n g n 8 l R k H P N J F F Y k O J T h J h + z E i c I Q y J B y g h Z h C n v + + 6 i R 5 N I L G 3 Q R m P n r A p u p C C C M D y G 8 w 1 W P s F G C 5 + 2 z n V J 4 K v k 0 t m R n B T s l c l 3 S B L h Z c A a j Z V X y / r y Q c i E 6 1 R v i / a q a F w x H T j K g W o a Z R m T b t P P K E m 5 o x I O a I i V b v 8 E / A H d I h F P q n c Q J U L 4 H u J o t D v T + 1 2 w x Q l 9 T f j Q 0 f i H w Y k z T A 0 M z T O K C s 6 i M Q O z s 1 I a o 7 q + q s c I J x G O t n C j E X S x r D 8 X w c Z a p I W U Y V D A 9 i a n w Y 6 O K w 5 L D F D L C f i d G c P k p 2 c U j W A S o W c L N x o 9 P 5 Z F W + W B t T V V m U W D D O 2 V z a 4 B 7 L S C S g 9 T G t y b p p s y 9 K R m A J I I M x u 0 0 Y j 5 W / 4 p d M U A W p e 4 Z N B V 1 p D a d x b q w K n h m s v o X b p F V R A / P K n p o C R C z I A 1 G i 3 Y E 9 k s Q g s o G J x c 6 Y S G v z Q Y F U Q S M B R Q m F u D + Q w z n k x r D i + N L z M D m k S 4 2 a C N x s 5 5 3 d S z Y D 3 X o g M C G n C x I E i 2 E z Z T g 9 V 8 n M P e h M 4 i d u o g t j w D Z 4 C T C D 0 b t N H o O W u C j z Q 3 A e 2 M M V 1 b c T t 1 C 5 c T f B j Y P I X Z G + b f n H J A E m G l h x q N k m 6 r B H S h P 8 / q m 5 u i m Z X 5 8 i 9 h Q v u 3 5 R w R r R g f r p s c i w X C m B E 4 w B i 2 G 6 L C g a t 2 u 7 w S P n W 3 U w D W W o t M u l s 3 4 C U 7 D G A S C a A N 2 n g x V C / r 8 K F b J 6 p i k A O S A G y 0 k F H V Y D S b a o 5 N 3 i g + L V d f 1 v E 4 H f A k Q t A W b j y G 7 o u Z W 9 4 8 m k c C 4 8 h i u 5 7 F K k p M p b k t Q + N + N S q x e x u u J I o b q l / Q 4 Z k f n D p Y q T l a H o K O R t p F 0 Q S 3 K t C S w C Y b z O N C Z R v W d T n 5 D V v S 0 V u 0 U F n 7 9 N s t k P I 6 8 n o s i Q T U C D Y a M 6 / z + / z 6 K n w H H i 4 k i g j C x C c O P a z A d h O E j h 6 l M x g 5 k c b 1 L c B O V P C i Z w s o E Y p 2 A U e j C W 3 F 1 v V u m k C D i 5 v H g V x N O J 4 k 0 a 3 r G N V R P G I C 8 x 5 Y f S N x B n 7 R r v I R U C I 0 b d / B i L n d e T 4 r 5 v V D i f T x 5 s V j j / z A y k / E k h g e H d B 7 n b v D j m b a F U Z u N w S m q L G s y P O w e / n P d 3 + f b F A l Q t V D 0 N G i 6 v 2 V W 6 i 8 0 9 0 I S y a + d Y i O d 9 7 D i O F 1 2 t R 4 9 E 7 g F A j G R b F L G c Y x t O t g w 9 z K 3 B g 8 w M 5 r 3 G C 4 x 9 w 2 S l / F b k C T S F B t 0 E a L p l c F H j d U B Q 6 M S u e B R S 4 O 8 V R z t y V i n N H B u m v 0 h b D w g z A o d t D C P U + + A U 0 i 7 G z Q R m N n U I d e j v N U j z z 8 5 v F 7 y u d 5 R z + V N 5 f 5 7 b 6 m 8 f h P e + z W c w + 6 Q u d 2 N z 3 p k 8 j u s Q E G i 1 6 w 5 q 2 b V v X k v o N z e Z v K 8 M 8 W b j T 2 X 0 I l D V 2 T 6 B 4 3 h v Q e t R Z G d n b G 5 + C L Q G j C t E 7 x r C P h R l M 9 6 e n B J B K Z I 9 h o 1 H y 4 v y y + x m W L n B E 9 D r T V 8 a w 4 9 x y q 0 W 7 p d r 6 4 D X A Y 0 m H M a Y a + O e M W U C I U 7 Q K O R t P 7 q x w P i Q s d y Y H N A X P B s I r B d A n t d n T y Q W b C U j E I G 0 h A 0 J L y t 4 u N a B J h a A s 3 G j + b E Y O L 1 o 2 5 h 2 X y 6 K o j R W T Q 1 9 G e w o Z E t w X B 1 V 9 T 6 x q H G v 6 v Y U W P b 4 4 4 e P V 7 T I m Q 9 Q B z N M b G a y + M q m 9 J A 1 K u L s e J R t B V c e m T 0 v k k i J u H u H 3 H F E r u n e e k 7 b H v n z N + e 4 r b w f Z Z r M d / + F P c Y A G u s R w 9 t B a f o t o T W I y B 9 W Z Y g 4 p J 1 U E 1 h p s 6 c 6 s Y M O q P B 5 3 i A T e + O c s G T y J n 7 A 7 e 3 y V 8 D 8 / c g 2 4 f P D P 5 + P + 8 z I z O b n 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2.xml>��< ? x m l   v e r s i o n = " 1 . 0 "   e n c o d i n g = " u t f - 1 6 " ? > < V i s u a l i z a t i o n   x m l n s : x s i = " h t t p : / / w w w . w 3 . o r g / 2 0 0 1 / X M L S c h e m a - i n s t a n c e "   x m l n s : x s d = " h t t p : / / w w w . w 3 . o r g / 2 0 0 1 / X M L S c h e m a "   x m l n s = " h t t p : / / m i c r o s o f t . d a t a . v i s u a l i z a t i o n . C l i e n t . E x c e l / 1 . 0 " > < T o u r s > < T o u r   N a m e = " T o u r   1 "   I d = " { A E 9 5 D 5 F B - C 4 5 8 - 4 D 2 F - 9 E 8 A - C D 9 E 6 3 3 5 D 1 D E } "   T o u r I d = " e e a c b 6 e 1 - 8 6 e 8 - 4 8 2 5 - 8 b 7 8 - 7 3 d d 8 3 e 3 a 1 8 2 "   X m l V e r = " 6 "   M i n X m l V e r = " 3 " > < D e s c r i p t i o n > S o m e   d e s c r i p t i o n   f o r   t h e   t o u r   g o e s   h e r e < / D e s c r i p t i o n > < I m a g e > i V B O R w 0 K G g o A A A A N S U h E U g A A A N Q A A A B 1 C A Y A A A A 2 n s 9 T A A A A A X N S R 0 I A r s 4 c 6 Q A A A A R n Q U 1 B A A C x j w v 8 Y Q U A A A A J c E h Z c w A A A q 0 A A A K t A c B V E 3 c A A E y E S U R B V H h e 7 b 1 X c C R r d h 5 4 C q b g v Q c a H o 1 G e + + 9 u 3 7 u z N w Z k h p R M W T o Y R k b q w 0 9 K M g g F T J U 6 E W x w Z V e + M S I X U k c L Z e a u Z z h z D V 9 2 3 v v 0 A 7 d 8 N 7 b g q 8 C q q D z n c w f l Z W V 5 d D m N t D 9 d V S j b F Z W / v / x z v b l r f E F W s b Y s m q e H n X H 0 M k a J 8 2 5 b X S x w a 6 / E h i x 0 Q t 0 t N o l 9 8 8 8 j 5 O / w K E q J / U 4 o q k i 2 0 3 n X s T R C T 6 m 2 0 N 0 v t 7 7 H o X q v H l q 6 I + h 4 g w 3 1 e T N k c 1 m k + f P X H 5 E H x z e T O M O B 6 W k p t H j 7 l j a v G p O X p u f m + P b P M U n J t D 0 1 C R d 7 8 y i b c V z l J X k o f 6 e H s o r L J T 3 G e H x e C g q K k p / p A H P O W d n 5 T v j E x L k u Y l Z G 6 X E a 0 v Z 1 9 1 F + U W r 5 L 4 Z C w s L i + e q 4 H I 5 + b k o i o 2 N l c f O W S e N j o 5 Q f k G B P H 4 T w P V I T E r W H y 0 N Y y M j c l 2 s r m M o t L c 0 U 2 l F p f 7 I G k 9 6 Y q n X 4 b s W Z g R / 9 S 0 H C A P E t L d c I 4 5 w i A k A 4 Y G Q j M Q E X G m K E 2 I C d p Z q x 3 T O e z d f j G E f g p i A x p 5 Z 6 u s b o C u X r 9 K c a 4 4 y U u P l + d S 0 N C a q 0 U V i G u X F j u E N C 2 I C 3 E y p J 9 Y 4 h Z g A b A I Q i k J v d z e / x y 3 E 1 M f E Z g S e S 0 h M F G I C g T z h a 5 A U 5 + W L w Y h p Z n p a f + S F c 2 Z m k Z i A u P g 4 y s 3 L 0 x 9 F B n y H y 6 V d u 2 D o 6 + m m w f 4 + I S T c B z G 1 j 0 b r r 0 a O w Y F + S s / M J H u c P / M L B 0 U l p f o 9 a 7 h 4 H 4 Q i J m B Z E 1 Q c 7 + n V T A D x s d p m + m C t U 2 6 R Y n X O H N l j f A V 1 W o L 2 e M q l U V F V z j z N G 9 6 C 7 1 m V z t I m I Y k K C v L o 4 K E D 5 G R O 7 5 w a 0 d 9 B N D k 5 J X 9 B E B m 8 2 E a k p K Z S R 2 u L 3 J + d n a G h g Q E h l I l x h z x X U F R E 0 d H R 1 N 3 R Q f l M b J A i V h j s 7 y U 3 n 1 e U T u y z M 7 P a H Q u M j 4 3 x x k 3 S H 3 k x P j E p x G s E z m V 6 a o p c T q f c w g W k n 9 0 e m r H l F x Z R T l 6 + E B L u z z M v m X b a a H b O V 3 q G g / n 5 e c r J z W O G 5 q K M r C z 9 2 f A B g o 6 J 0 R i k F V z M g C 8 1 h s e s l z V B T f I C N A 5 G U 4 z h V x g l S j j A Z 8 u z P c K B g C 4 T l x y e 0 g 7 e N O i 9 4 D u K N Q 6 8 r s C 9 S M D Y S M n J y e T h x V W A y g S p A 4 I w A y p e X H y 8 S K r 4 + A T K z s 2 V 5 1 0 s 5 R T m W E U s W L V K u L 7 d H i c b B 8 c D Z 1 d I S c 8 T t R f A 8 / E J m o S 0 w h i r c V Y o 4 u / o Y s I 1 A 9 I D H F 9 x / f l 5 7 7 l Z A e f W 0 9 W l P w o O o z Q e m o y i 0 e k o W p v P D E p n j m Z A h Z 5 h S Y p z g u r M s l C Y A K 7 R E E u n 4 a E h i t U J e a C v V / 7 2 d P r / J i v k F Q R X E S + F q f k A y 9 6 G A k o y 5 9 m O c f P G I 7 r Z Z q d J t i f C h S K I g Y k o q u 1 i l Y w X 9 F C V i 5 e L a I a l 0 7 V m / 4 t Z k d B B 0 Q s z L B V s 1 N 7 e y c 8 s 0 O Y t m y i N 1 b z J y U m a m p q m 3 N w c I b K J 8 X G R R g r 9 v b 0 s r b J 4 k 9 q F 8 x t V l C n + r J O f y 9 S 5 L C R b P K t f 4 O J Q F w F I G e K f l 8 T P 9 b C t h N c W P G 6 W Z j E s 6 d h + Y C I e G x n l 7 2 a 1 k p + 3 x 9 p F F V I Y G h y k 7 J w c / Z E G b G 6 z n Q a A y F a V l O i P v I A 6 m s M q I b i 6 h z f 1 A E t X Z W 9 Z 2 W h m g B A g f Y 2 4 2 x 4 r U n Z 7 i T / R j g 4 P R y R 5 z L 9 n g R / b L H 6 f Q q D f D 2 B P Y G + E i 2 V P U J m J H i r K Y C m Q 6 s Y + E 5 h t o 2 A A Q X n 4 C s A J c Y x t m p 6 x a C Z Q d 9 B j 5 C b P 0 Z Z i L 4 c F Q E i X L l 6 l 3 X t 2 U X Z 2 J n 3 z 9 X e 8 S D Z a W 7 N a X s / K z m K 7 K l 0 2 f T x L J m x K q H W w r Z J Y s k F N g l F t 3 P x G N A / Y q D L X u 1 R w Q o A 7 J 9 u Z a E x 2 w 9 j I M B 8 n + A Z s b W 6 i M j b C s f k d o 6 O U l p G h v 6 I h H C N 9 c m J C p E W g c w b u M a H s K P U l E q s N f o c Z Y Q a v 5 e p c r 4 R X A J H e b o u j P b q t b I a b J X e 0 h c p m J t w R l m L J z N y U 6 j s 6 P C T X M D U 9 g 5 8 b p b L K K v 2 d G h 5 2 x t I g S 8 9 I Y O s a n l u W B B U T v U B R c w 5 K S U m l y R m 2 g W w z w p U B q I I 3 W s I T 0 x v y J q l x O I m q c 9 3 U z 5 x I c S N w S x C a F W x d Z 6 h 4 V Q F V r a 5 k L q 0 t G A z x t t Z 2 q l 6 j E R D Q 3 c V E U 1 j g w / 0 6 W t t E L Y P d V F J W L s 9 N T 0 / R z P S M q H R 5 + f n y H N D V 0 c 4 S o p Q G W J X L Z X u j a S C a q v g 8 F T r b W q l Y P w Y A w s A x M r O z h V C A Q J t t i u 2 7 K 1 e u 0 Y a N 6 + n Z k z r 6 6 J M P 9 F c 0 9 L J d U c C 2 T S j A z j L a Z Y N 9 f Z T O 0 g S / u W k o T q 6 j m U j M U q x l K F p s q F X M G B M t V D 4 Q 4 N n 6 h I D 2 M Y 4 H m C X j C B N M Z l a 2 / i g 4 4 B 2 E C q 5 w l h k s 1 B Q b L x 1 / f d i w z b g C b Z u 3 H A s e t l e c 1 M s q V H 5 R C X 3 3 a J Z K W b K s w e L x d Q 1 X S q X H z d H G w l m 6 2 p p C C b y Y M 2 w U Y 1 3 0 N R I c r H T x c w u s S 8 f S z o I R y s p M k e c f P 3 5 K m z Z t k P v 3 7 t 6 n H T u 3 y 3 2 F C T b 2 F / g 8 U 3 W V r 5 d V u A L d n l L q H R Y S k s q I w Y F B t s c S K S E x i T r b 2 7 B T y D H h p K y 0 B L a p i m l 4 c I i y c r L F g Q H X v A L U r y j m y O C 8 k F B q g w 3 w J s 9 l Q g X H P n 3 q D J W W l b J d l 0 + Z L J X U e z q Z + I t X + R M Q G I W V k w G e x Y 1 F 8 0 L A R o N + k s 8 p W T 8 n 8 2 u A 2 8 0 E z u q p G X W 9 0 a x l e C i J l y 3 O 5 C A a 7 O + n J 4 5 i O q a H O q x g p b b 1 9 f a w K u p v H 0 G 9 x P r W s M 2 W G r 9 A H c y Y F H M D 5 p l n 3 W f p 5 J i J E q 0 n E g J Z l g R l Z + k E Q F z j y n S M 2 e h x u 3 a x j V w s H K J K T / D Q r r I 5 i T c 1 D s a w L T Z P f e P R d L / V T V v L o q g w z Z c 9 Y e F A K O o + D O X m p h Z a X V 1 F + f n + r u b 7 9 x 7 S t u 1 b h H P n 6 n Y G C C l O V 9 O M 3 B r q E 2 w l P A f 3 N o g N 6 h R e 7 x i N o u y k B U q 0 a 7 + 9 j V U 2 W 1 Q 0 l Z Z 7 N 4 I C V B t I q V F W b T p a O + Q v J G d S c h K l p q Q s f p 8 C v u / + / Y f 8 u R F a t 2 E t F b J U P X / + E h U X F 1 E R E 1 k K q 6 T A 1 O S E f D Y 2 L o k 1 B M 0 7 B s n Z x 0 y t q L h Y 3 m N E Z 3 s 7 F Z f 6 u q O h b q W m p + u P f N E + H M U 2 L F E e E 5 Y R l 5 / y 9 b Z n 0 m E L g h o a H G C b U H P o m B H I 9 h q a t F F 2 s n Y d g 8 W / r j T a a X b e R o d X u 0 Q j O g + p x d j N + + V 2 m z f M Y M S y I y h s B e X i d j j G 2 T h P o o l p F 1 1 8 o S 2 C k a C u N t l F 4 l j B 5 p 6 h A 2 u i R S p Z 4 e K F S 3 T 0 2 B H 9 k T W w E V t a 2 q i y 0 n 9 T K 4 D o L 1 6 4 Q i c / O C Y b H f b S y O A g F e r G P j x R U J G G W C q B C O A p N M L J q m F c f A L N u O a p a y y O 1 S d N 5 V O E O O d y U q z d l 3 H A m 5 e e k U l 3 b t + l K i Z 0 S C I r D D D n h z 2 H m B m A Y 3 7 5 5 W 8 o m T f Y 8 R N H R D J 1 s e S a d I x S 9 d p 1 i x I A 7 w O M h A k H C r y Z 6 r w A M J s E P f A M 4 L U + t h 1 T 0 t P 4 d 2 p S 3 g g c t n N U s 2 E V b r N t N T 0 1 T X u q Y 3 i t 9 C d 1 Q P o j I G 0 F 2 K q Q z M 9 f N D G T i q G D B / c F d O d P j o + L b T X F x A U 7 t q j Y 6 4 i Z Y h p O 0 j 9 2 o y W W z Y k o t p / n q J Y l m B W s z + Y t B p Z S 6 b Q g J g Q k k x P j R d K Y d e y D V S 4 q Z r 3 c i M I 0 z d V d E t c R k J i A Y g u O a w Y 2 D u y k Y L h 6 + T p t 3 b Z Z 3 p u V k y O b S h E T H B O F v H g T z B h K y s q E m H o 6 4 T X 0 A k 4 L Y G x s i i q y t d + y w D x Q b V o Q E 1 Q r I 5 L Z r g R m Z 5 1 M V P f k v h U 8 r H 4 p Y o I 6 C F f + 5 z / + C X 3 M 9 p T a f K t Y Q g 2 N j v t s X H y 3 + n 4 F S C r A + P w w S w + F y Q k c w y Z h A E V M L Q 0 N c j 1 g h w H 4 q J G Y B t m e n Z 1 0 0 N 7 q W D 9 i A v p 7 N P e 4 G X A Q I Q a Y w Y z k w 4 9 O 0 P H j R 5 i 4 Z + n i x c u i V Z g B Y g L g O T U S E 6 C I C d h X M S d 7 J z f Z / x g K y 4 6 g s F w m V V k w x v q u F d b m + 3 q Y k A n B 1 h e r Q q 3 6 M 9 b o 7 / d u h k C o q 3 t B e / b u 0 h / 5 A 5 v F w 1 y 0 7 t l z u n X z N i + m m x y s 8 i B m A i j b y e h h g x o H Q o P d g H g K g p 5 A S o K N h v q 1 j A k 4 K Y y A q t g F W 0 t H P 9 s O c F h A g n / 0 0 U n 9 W Q 0 4 J 9 h Y v V 1 d i 8 c G 4 A 3 L 5 / M x 2 y / A 3 r 2 7 x V Y N B k h F B K d b m h r l M Y g E D h U A 3 6 m I 3 A h 8 H 4 g M T g 2 4 8 4 3 o Z k n 1 v G e B D m 9 I 8 I t N I d w w P D Q o n 7 d C F F / D 0 d H R x b g U k J a W S o c P H 5 R r E g h Q R 9 X a L B X L U u W D P u v x 2 P g 2 T 3 H 2 W H L N u c k 5 M 6 q 9 w Y R e R z Q 9 6 d G M 4 J r c e S p K d 9 H 1 6 z c p P y / P x y N n x o v n 9 V S z d o 3 + y B p Q 5 9 r a O n g z D A m H n 2 U V Z / 3 G D c y B k 3 i D R t H t W / d o 7 7 5 d s m n A 8 W / w 9 + 4 / s E / / N N z b X j c 5 7 J B 0 J i x I X K O r d 2 z a J l k b i v H X 1 T 2 n d L Z B J t m O K y k t F p V N Y W Z m W q Q d H B A 9 v X 1 i + 6 S k + K q Q c I Z A 7 Y w U T U 3 N V F V l 7 U Z X T g 8 z 8 P u Q 4 Z G d m + f n M O j t 6 x c P Z G N D E 5 V X l l E x S y 5 c P 5 s 9 h a 4 3 R 1 O s Z 5 q O r P d X 0 S D 1 s g L Y T A q D T B S x M b F 8 n d I W 7 U m F M 6 f P 0 Q c f n t A f a Q D B I y i e m x 8 8 d 5 H f R u O z 2 n o E s s + X n Y Q C 9 S M X D + k 2 R i C B t X 3 Y N 1 g I p L E q 6 H T O U m H i G P U 1 3 a b O j k 5 K 4 E 1 o J C b 3 g p u e / c U m / Z G G 7 J x s G h m x J l I F b P 4 p 5 s R 7 9 + 2 m A 6 y j n / j g O O X n 5 8 o C A Q U l l b L h 4 Y A A U U 1 P z 1 J n Z 5 d s a n B k t / 4 + A I F R S B o Q F t y 9 i P H U d s Z Q e q K X m J 4 + r R P H B 5 w L 5 R V l w o W H 2 f A G M U P F c b G d 5 Z i Y k u 8 v L M g n O 5 9 f m 5 7 e p K C S a c 2 A i x 5 o a q h f P H 8 F J P S W l 5 d R H x P B q V N n 5 P U 5 f g 7 O F a h Q R m L C u S i A W W C T m o k J a H j R I O r k 0 W O H m e C K 5 b q A 0 M c G O u h E z Z w P M T X X v 9 D v U U h i A h A G A D E B c I C A 8 Y 2 P O 4 T w d + z a 7 n O O A G y o U M Q E w J U O m w 6 I C 2 A u L F + 3 O c O 2 4 J V Q I 4 4 x i u V 1 e 9 g F d 6 e + A 3 W c r J m l s 2 c u s H T Y I 3 Z X S 0 s r l Z W V + i 0 0 N s r I 8 C h v 3 G f i A o d h + 5 z V u i 1 b N / k 5 C x Q u n L 9 I x 4 4 f 1 R / 5 A m 5 X E L Q R F 8 5 f o s 2 b N 0 q M K y c n a 9 H r h e 8 2 2 h / A 8 + Y h y o h 3 U i p v z N O n z o p t Y 5 R I Q E N D o 9 h x l a s r R e q C y K 9 c v i a v J S T E 0 6 7 d O + W + E b 3 d X Z S W n s E b z U V T l E W F 6 R 6 J Y U 2 z h I B b v 5 9 V z T x 9 g y G t B x I G e P j g E a 1 b X y O E n J S Y R M 1 8 H T d s W O f n G k c 2 C D b + 8 + c v a H J q V p h D S k o i 7 d n j V Y 8 v X b p K R 4 4 c l P y 9 x L g F c W D g B r t n e H h E 7 m d l Z V F i Y g L b S t 2 U Z x E T s 7 p m o 6 N 8 P V N T f K S 8 g n K t P 3 n y j D Z u X K 8 / G z 6 U V I I d N c 5 r e 8 v C 0 x f 9 b / 7 t v / 9 L / f 6 y A y t 9 r P 5 F k 5 t 3 5 7 k 6 D 7 W N R P v l 8 k E 9 h D F f W V V B d + 7 c Y 1 3 f Q S + Y O 5 Y x x 4 2 N 9 d 0 I W J x r V 2 / o H q 5 Y y U D A 4 n j 4 + A i C V v E x j I C 7 f M v W z Z Y c G L D K S 4 N k g e c L m / 1 / / O L v R b f P Z p V k n B l C T H S M x J E U c j I T a Z 6 / 2 8 U b H 5 u h p M T f U T L P U m L D p o 2 S 9 o R N h N 8 A Z o E b X N 5 A a 3 O z T 3 I u U q G Q n Y 2 E U p R 8 j D G B Q N 1 M S d G c B X A a Q F r i X O C + d / C 5 I Y B e w F I P x A P m A q k L a V l b + 1 i e H x + f W A w F P H 7 0 m K L 5 2 q 5 m F T E r p 4 h q q v l a 8 / U 8 w 0 w B w e + o m G h W x Y a p o r K c V T P 5 i A R v I T 2 h q i I Y X M i E j R S u b 7 4 + R d t 3 7 v A j H K i M s 6 x 5 n D t z k Z q b W 1 j a F c r v f 3 D / o f z 2 Q M B x a h 8 + 8 l F f w d S M Q d 1 A a B 7 S T r Y y x y 0 S S j 0 2 Y s V I q K 8 e e M s S 1 u a 5 q X 4 g m r b q t U Z G I F D 5 j F U n b O L c v F z e B L 5 6 + k O + 2 O v X r x O C M u L q l e t C C L O 8 g Z k 1 S v b B q q J C K i 6 x L p V Q A B e 9 0 R p H + y u s g 5 J 4 / d t v v q N P P / u Y p e P w Y h 6 f w k W W a E e P W 7 v v r T h 0 O I C z I x w V J x y A 0 H t 6 e p k o x 6 i g q I D u 3 3 1 I u / f s E H U T J S a A k z W s O I P A G B l C i M A 3 n x B e Q O W 4 Q B Z + U U m J Z I 9 A D f z 1 l / 9 I 1 T W r W a L n U C 8 T 3 B R L v K 3 b t 7 G 2 o R 0 f 3 w / G 5 G I m k B E g x m U E N I + u r h 6 x 3 z 7 6 + C T b b t M 0 x L Z W c Y g S D q O E Q j I v A s R m r C i C S m b V A W l H 0 S w w j q + x T l M x o r m p l S W X f w z p 2 d P n s l j g q k 8 e P x N p s v / A X u H O s B 2 m m W v j l p u b K 8 4 H I 2 C v x c U Z u N 3 8 D I t J a 7 s F g H 7 f 0 d H l F 8 t i c 4 j 6 u 9 v p R X 0 T n W T b z A i o Z E l J K b w B k 2 k c K k 5 G 8 E 0 E K Y P N D e 8 h C D Y c b q z Q i / Q p i w w K I 0 D Y 1 6 / d p D W 8 6 Z E V o i Q V 8 g U T W T V E w i 6 8 i v N M f M W G Z F v U Y c X p N h 2 k Y F q a 9 3 e o u B a I P y c v 3 4 d x Q G U t M N R 8 w a 7 7 + G P f 1 C k z r L I 2 c N 6 X L l 4 R O w 6 A m g m V 2 f w + B R A U l n t 3 m S t g a t u K I a i z T 6 a l 4 j Y S Q P S v Z x s A F 1 G h r a 2 d 9 f h 0 U a E A l F f A w 1 V d X c U 2 R K 2 o I f v 2 7 2 U V Z 5 z q X 9 S z e l H G 6 l I q 6 + 4 O e v b s O W 3 b t o X u 3 r k v s Q 8 E F E M B E h M q K F K Y 4 L J 9 4 S i k / Z X 8 3 L O n V F p W T q O O c S Z a m 3 i P s N B p G Z k W t l / g A K c C n C e w H 4 G 9 / / 9 h m p y b p C c / v y + P g 0 E l 8 Z r B e 5 F a h 7 X q Z n j O T p w 8 J p v + E a u A + L t 2 X Y 3 m 2 W y J p Y r 4 N h 8 X P Q B G A j U P r m 1 F L O b g c G 9 X p 6 R a m X + f s o U A O G P w G I y t p b m V 1 t R U L 8 b Q F K T g k Y 9 p T i I G Y H P B K 4 v j Y d 1 Q J Q D N B c 8 B U A d T e C 9 c b Y 4 L q 1 Z r x a l 8 S B X a U O h f A m A G P F Z w j W / f s Z U N / n O s 8 0 d T Y k I i F b E a V 1 5 R u r j 5 b t + 6 K 3 a S l I Q b v F m n v 4 P 7 9 b g s v D e V a I E J s p N K S 4 t F p U D q j h G o L q 7 k D Q h J C r S y U Y 9 k W K i S 2 F N I f 5 q a G B O X b w J / P z a W c H b Z Y F F 8 P G v 1 E o V 1 x p i L g j E 5 V G U D R A o E l s 3 F k Y B x U 4 P L H z l 6 S O 4 D 7 n k 3 X e T n d u 7 c S m k G F c z B 1 x A O G E U c P U w w W a z 6 G S U m 8 h F x d Z R T A a o g b D w V 0 1 J A L A 2 O F d h 5 s N 9 A U F g z r C s 0 i y z 9 n K 0 k k x l 9 f V p c D + s L R 0 s B 2 4 a J u r q K 9 K o o e w r V D m o q K u r n k M g b C F 6 y X y H o C a N M W S p p e d W w C W C A 7 9 i 1 j U V 5 F C X z g k C q x M b a Z T P D 2 z Q G g 5 X t L C M x Q Q f f t 3 8 P b w y N Y y k V h 0 l c V E V s N h C L G Z u L 5 o W Y Q D h 3 2 m L p 8 U i R h A B m Z r R M A a g T K P E Q q 5 y B 4 y M X r Y T V p L p n m u v 4 Q X s M P e j g G / 9 V s A p G 9 v b 0 L x I T C A 6 e N v y m c I F y k Y 5 B b y b F 7 W a P B I w V z p + D M 6 C V L l + 6 6 p c U H B 0 T T T t 3 b 5 c g t g I 2 J q Q r K o o R f 4 J 0 K m T p A 2 L C c Z G T N / j 1 3 w q B g J j A p A D Y V U a J r M 4 h g 3 + b q m K G 4 w j e T x B T N 0 v U Z r a N F E C g V m X / R m B t 1 f r 2 9 f T J e u J 8 c c 0 g W R U x A R A / y O 0 L h G U t o e Z d M y x V E m j a O U e n H / u q e + Y 0 J C N O f 3 e e u V a U x F a g C k F F Q A Y 2 i v m A U 9 + e o e I D n Z Q y + o E s F l J Z I B 3 6 + w b Y v n p G S W y 7 7 L Z w R w P Q w 7 t Z O q W k J l P T Z L G U 0 M N t P + + x E Q t B u t x o X / R E K m m K j e 4 Y G 5 W F n 5 q Y l O I 9 l T 3 R w z Z M I d s w k 3 y e V 1 t S F z k 3 8 M E 6 F 3 V 3 d k p i K m I 1 l W t q 5 H k E M y d t e T Q w a a M d p b 5 p S Y g 3 w Z 6 C Z L D C y J S N n j c P 0 P 5 N 2 u v I v O 5 2 R E s m v 8 K z 1 g n K i J s Q T 1 w g Q K W b 5 8 2 M m J + 5 k B J Q n k U r 4 L N G N R y P I W 3 h B U X C c K E p L W x o e J h t r Q G 2 h y v 4 + s T I 9 V Q e X N x H / A l 2 X C i A U U K i G U M k z Y M x 1 D z k v e b B y n q A Z U 1 Q g 3 3 e c u s 7 P b 6 G e T C C A p A F v m n z R t m g K A R U 6 J + I p h u 1 b Z Q 8 3 S B q F A K 2 4 J b g V r C n 8 g v y q a 2 1 T V y + V g B B N d Q 3 U b + L p U N K m T w H Q Y a u T A A M W 9 v 8 B H m i k + l D J g g F x G 7 U o m M T Y O O o I O z N h n m a m N d U E A X p 3 L T G q 9 r i M / B U N T Y 0 U z c L h p J 1 B 2 l 3 e W j V F 7 E o S G S F 5 k F W f e 0 L V G D K s l f A t U C 8 C l 4 8 p R Z b A a p T a U m x q F u R Z G d Y Z Y + b n R A K O J d W X o s J P v 7 O H b 5 S E j A S M u 6 D W K x 6 a k C j w G u 3 b t 2 h Q 4 c O 6 M + y / W Q R a 4 q J W h D m a A W E S V a c y h c u Y I y C i x m J C U C x W 1 J 2 F S 2 U f M I E t 4 E c D o d c b C w M K n I X b B 6 K c c f z 5 h 3 m 5 3 0 j 7 g D s o c 1 b N p I n z m t 3 8 F 6 n + v 5 o 4 f Y A M p i L 0 r U N i 8 y I 4 c F B H w 4 K V Q / E N N T f T 2 0 t L X 7 E B M l k J C Y A s R i E A j I q D 1 B C 0 S 6 q v f 6 1 E F k g w D Y D Z k 3 q E G I s M U 7 f X E G F v / 3 v f 8 d a w Z x I H W V j B E J l R b l k m n R 0 d F J 3 T 6 / E j Y x A a w A r o D 0 A i i + N M D o 0 6 u s b x f l Q + + C R 1 I 3 V 1 K y x J C Y A t p Q C 1 s + K m I C v v / q O v n 3 k k T Y G R l g F b h G G i b f I d 4 T 2 A a f F O 0 t Q 8 E I N D g 6 J x A B X V h j R s 7 u B Q V c O v X h R T x c G L 9 K p e 5 c p L z + X N v 3 t D v p n 8 T 8 X 9 R B e P 7 V p n U 6 X e I m g x 6 N D T p T d 1 w H Q P h J D F x o 0 b p m Y m C L 9 / / D d c W l F k k i K 2 h 1 4 s w B 1 T O S g l V X 4 B p P 1 A m E / J M J 2 W 4 i i V e l u V m H j q X z b D + i 7 8 3 e E + y o Y C U x J v y i L Y r + c 3 F y / B F z g R 1 / 8 g B L 4 e 2 C v K P s x G O A x Q z C 6 u n o 1 Z W a k 0 1 e / + 1 Z / R X M W A J D 8 A I o B Y R 9 B Y 0 D T G q h 5 q L + C p D Z + 1 y g T K Y L j W 7 Z t p l U B n D Q K c H 4 g Q G 0 G V M C p S Y 2 g c U 0 K C n L p R z v j K c 3 g t F E x J z P Q h / E Q 2 1 C K I a o z m 9 O Z 5 b I l q G i b L 5 f A D w O X A K b G r T O G k Z a k P h W f X k Q P B r S U G m P E + 9 P t y b R X D 8 K i T 1 x x z V 6 K f W G n n 5 3 4 X P L N n v 7 8 P l 0 s / k 5 U G a h 9 k F Q d 7 R 3 i v N i 5 a z t v o l w a c 2 i b J B w g O H j v w W N q Y A k z P K z l D t r 4 X 8 P z Z 2 K g G w k C s B C K i x h k m w m Z D 5 B g 1 f l u + v j E b v r q q 2 8 k o w N q K q p y h 3 W G g c x 3 A A m s Z k A q T + k S x E i E K E 7 s Z 6 m w F M D Q R + r U G B 8 b U B I u W c / O Q G W t s f s Q b K i k 5 B S / m B k C 6 y h L C R c o 2 D T n 7 i H 3 M C l Z I x 4 Q 6 9 S k r 5 S + E K T L U W a S d j 3 W F 2 i l H L 6 7 k I + 3 X G 0 o l B m g + E 0 h P c 0 b P I U d g 5 Q Y b M y 0 9 D R a s 2 Y 1 3 W n x 0 P h c Y J 0 f 7 l A 0 a W k 9 / T + o / M N / 5 s O h J s d H q C a 5 g 1 a v r q J v v z 1 N h w 4 f E A m F l l + I 0 B s B l d H Y c i x c o G j y c J V T C L S 9 r Y N c z J l 3 7 t k p G w s e Q W S d G 5 H B C 7 v T 0 P y k h 1 X H Q l Y b 6 + s b J K M g M 9 P a 4 H 9 Y + 4 g q y s s 0 b q x z f g S j a 2 u f y H e N O 8 b F g 3 n 3 z j 3 d t n D T 0 H Q M l e X G U 0 F h P q X y 7 w V h L R V 3 2 E 6 Z Z W l e U l Z M 8 Q Z H B e J + x m J E B d h J S P 1 y M w N A W p H R x g k F t D 2 b Y e m P k n w c x 5 w H C W 8 v 2 h j E 5 m 4 i x 3 y 6 Z N b c 7 / B X 8 w B U i R 8 x V A w j B t c 4 4 L / O y 5 a g F u Z n Z P M p G A n K D J R X o C z g f o / v 5 g f Q g 6 K B C Q C M G O Y U 2 i 8 D o 1 M 2 u t v h y 6 l K o n i z Z q d I 8 B I q I 9 Q W Y 2 y o q b G J 6 n v d F J v j q 4 s D y l Q L d r W N j h S c D / L Y 9 u 7 f L T G V r x 6 4 m V t 7 f 2 N a z D h F O + r E B l y 7 b i 2 N j I 7 Q i 7 p 6 2 r B p v W y c M 9 + d o 9 / 7 / S / 0 d 3 s x M j o q N p D a v J B A C M z C 9 Z 2 V l S m / S c V t c A 6 P W K q j Q h U b E i 5 y c + l D p E C a T 3 y C v / 0 F 6 d / Y 2 C z F m A n 8 O 5 G A i 9 A D H E e 4 Z D h n c z w J B A + X u p K i C B + g R R r U P D h b 0 J P D D L w X N 2 g V U N N e T J T 4 X N d A y E r 0 k N N t k 0 w c l Z F j h e U r o Z h j d H V b S y g z O l h 1 e 9 F n L T W w 0 Y 1 X A C K 9 M N V N h W y L A E Z J B R t n R 1 6 f Z E S P j T k k z w 5 R d X B Q 1 G a t 3 7 B e 7 A b j Z 6 R x T J 6 v 6 x r 9 C J C J b k R i D L + n 7 6 o s t t h 3 r F p N T k 1 L j V B 2 d p Y k u t 7 q 8 u b 5 e e a m 6 K P N G j e 9 e O G y q D X 5 B X m 0 g c 8 B u M f c H I F l q F r p e i x J A X V Z 1 T X V I i E 6 e C N 3 d X S J f Y i E U X j u / v D U H 9 P / 9 / F / k / e C k G B r o l N T t i n P M B I Y C T U Y Q C S D g 4 M i Z Y 3 x J y v g N 0 N l U + / T J O q 8 X 6 a E A q 7 l g w e P J H M C t W 7 Z O X m L d m 0 o Y J + k M 1 G N 6 I 1 P A 2 F F q n x G B D I u F Z D m 8 7 g 7 h i Z m f S 8 U C G p D g U Y I u E L o 2 6 f E / t k z 5 + n A w f 0 i C W B n o c 8 5 1 M I D 6 1 K k M S I 0 q f K s e a r K C W L w B A H K M U C o k C Z I 9 l Q b 5 G 6 7 n U Y N q l + o 0 A C A s h X 0 s z A C D P 1 h 6 y y N t t w S l 3 Z y a g o d P X p I 8 v H g 2 U T + H V K w c n K y y c Y 7 C Y Q X a J O G A 6 v U K A R c k Q 8 J B 0 Q 4 K V p W U B 2 Z 0 K 0 2 h 6 8 X 3 P 8 q O 0 Q a l P L v P F C l q W k O t g l r 2 V Y 9 c H C v O D 5 w D a R V W J g o S P V Q W f Y 8 3 Q z R n i 4 4 u S 1 z n D U Q k 0 r 3 M Q M x F + X M M A I N L y F J I N p B T G g T 7 G K R f + 9 + L R 0 + c o j + V c f P Z E G a d D 0 6 J S 2 T c l O 0 v h a I O S 2 V m I C 6 5 / X U 1 9 t P t 2 / e F a 6 O o C 4 k l 5 G Y g H C a M K I U Z c D k S A D B V 6 P T L v 9 L T k 2 W T A p k b K N Q E p k j S M m C d w 6 1 S L C X X o a Y A D M x A X C 4 w C E B g o 0 U y n O H B j W Q S o W r V k m l M g B i u t u 6 Q N M u G 2 s b m k N n m N X 3 0 b E J X r c D Q k y o l 8 O a R g L E n 1 J 4 D 5 U Z A t x W W J Y E h a B m O D C + K 6 D O y 7 f R A G I c a p k i x O e 6 y j i S u J s 3 W C w d z P w Z F b E U U / I 9 y e 5 h I z W A T 5 u B G M U X / + 7 X 9 N m / / l J / J j C Q w Y E Y S m F R A X 1 3 6 o x w c t g U Z j z v D c 3 Z o Q 7 B 4 D / 1 7 W l x R S t c Y n V 1 / / 6 9 U o C I b r d w s q B E 5 c b 1 W 5 J x g N 9 o z F Z Y K r D h I U k Q s I U L H D C m A m G D S 2 o U S x C 4 0 J G 5 o m A 8 X 2 C g t 1 c C t K o t N T i D U v c Q Y m h o H R A N Y X R W c z 5 g 7 a C h 3 G d b u G G q Q r r t A n W 9 X m 9 v u E A R J B C s s Q / w R l Q + / I x X / S X h q H y h 1 L 1 w s L v c R b d b f T n 0 d t R Z J X s k r Q h l 9 1 0 s z Q D j 3 C k z + h x R l J / m k e s Q i C d j J d A L b l / Z J O 8 V 7 V 1 q w 3 z 9 u 2 8 p o e a n c t 8 I S E T Y c G i B h S O b e 0 g Y g f q f j M w M 8 Q C i D A W G O 9 J s 2 t l A h z c U t h Y 2 8 d P H T 2 n 9 p g 2 S D b F U I K a U k 5 f v Z w e Z + + B N T k 6 I V F R Q W R W w h X A M 1 Y U I R A k C V 9 f F 3 B E X A e o r 7 d a e T Q A f Q x c s B G V R K X C 5 z i U x w H A h L n J e n 1 B q 4 h u R U E Z i W o K E X x I i F e k K m w q 1 + A J u S F Y 1 E x O A r q I A p J 5 R X U S i a y C A m I B g P x / X 5 k D F t G x C p N N g A 4 G D 4 / b D H / 9 A f 5 c v h k d G x c P n 4 d X G 5 0 5 9 c 1 p 6 B V o B z T g h M Z B B P 8 H S I M 4 e R 7 1 9 f e L x + 8 d f / 0 7 e g + / d I K U k / v G p S I D 0 I T M x A e a m k i A m O B e U 9 F L 2 1 D S f B 4 g J G e m Y v A G 1 E 0 S k A G I C 0 S k s M M V g z d A f H S j N 8 F X N J k f 7 h F n 9 6 t Q 9 q d n 6 w Z 7 w W j Q D 2 B P A Q B g q 9 r J 1 S m B j D h h y + Y w S K p B k y k t B / 3 K N A g p S 3 d I h 1 j 3 6 j D 7 a V y U j S 2 A j K e y v c N K t t j j J D L c C d G m 0 L h s z 9 a 9 A p g L s L Z 2 R W m J 6 e o Y 3 t p v u 3 X t I O 3 Z s F X c x s q / H e Z P D T e w Y G 6 d W J o p j x 7 X C N y O M y b X A 4 c p J K W E x A t w c e W n b t m 3 l D e t 1 H a M v H d Q 8 S D T k / S F e B 8 m U m 5 N D 3 3 x 1 S o g N z W k g s V D e f v D Q f i H m 1 w m s F Q g B A I G A U H A t Q I w g M q Q M K a l k N d T A D G x m / r g w Q 6 j g r c O + a j E I T s X v H j B j x C i d Q I A T C p M q V f f g c G K M y 5 a g g G D J s U A 0 r 8 O x G m d A q a A 6 9 2 D T q b a 7 L w s s A g h z U 9 G 8 e A 8 B D G u D h L r W p E m 7 H O d d 2 r R x v W x W b G J s H j S D Q U q N C j 6 i x g e D C E L l z A U D c t 6 Q z Q G H B l z f + B 6 4 4 K 2 A 1 s v w 9 B m l S t 2 z O l q 3 f p 3 + K D i g K u K z 2 P z G x F 5 F D O E A l c i 2 n B j K j d Y y 3 c f H H J T K B I 8 U J G R N m M f r Q M 2 b 4 h v a q h n V P z A c M B 4 r 5 C a 7 q S D J Q X m Z S U F H 1 R S m e m h 9 0 Z z P 3 g n H h A g t w 5 Y p w P W O B y E m A B t W 5 c 8 h P 2 s p g D R K N X Q 2 U l J O E R M A r m Z 0 I G z R s 9 w B t Y H x 1 x j J R 9 k I v G 0 g h q U C v + 3 6 1 R u s 4 t 0 R F 3 g g Y g L y c v 3 j P m h k g 6 Y 1 q E Q G 2 j u 6 a G R k m I n d I Y w A 9 U 6 w e X C O S j 3 F M f A a C C k S Y g L Q a U k R E 8 p Z U C Y D o E o a U E P p A M S U 4 p n Z w B N p J C Y g E D E B 6 P A E Y g L M M a X V z P h 2 l M z R O l 7 T d a z m G c 8 + U O t l M 1 Y M Q S m 7 B 7 e Y 3 j P 6 s 8 G B 4 C y 6 j A K B U k 5 C A d 4 / p P k H Q 3 a y h 5 w G h x U y E 8 x A g N U M S K l I N 6 U R s K X 2 H 9 x H e / b u D n o c E E R m l j c 7 / s 7 d + 3 T u 7 E V R S f f u 2 7 M Y 0 E U t W G Z m F h N 7 m h A O q n H h Q D A f 2 0 y Y 4 Q A J q 0 a g G l e N R 1 X z f k F E K i 9 P S U D 0 7 4 B 0 V K + F Y k A g o o v 1 d p E 2 U V H a e 2 E H Y 8 I K g v B t w 9 E S j o A 9 i 5 g T e i P C E R G O / Q S s G I I y A i U G o Y A L 3 9 w 9 z n q h x q 3 U 6 M / X A e j p k y 7 v 8 e F A U E C y K P I O 0 a P O j N K y 0 P 3 V A w G b b M + + 3 f q j w M D 0 Q W R 8 G H P / N m 5 Y R y d O H q V D Y k N F S R Y F A r 2 f f P K h / o 7 g U N 2 O g g E S S A E u d R R V Y k 3 g F l d A g N k I t D 8 z 2 3 S q w h d J t G o 6 C I L 1 g Y C s m T m 9 n g l j Y G O Z q G x s e V 1 j 4 u l j 9 a 8 q d 1 7 s M D D Y C a e N C U k L A o e L Z U t Q a q S N F e I S Q u u 6 u P C T g 2 2 U Y N c 4 H i T b V N t l u R 8 O l u q t d D X / j k 4 c P 8 r c 1 C N N L z H 4 b M u W T Z Y x H 3 B f Y 1 z G C u i d b g X 8 P l c Y W d m P a p / Q l m 1 b f N R N N I I E R o a H R a U D + p n w I g G y 2 I 1 e O D M g g V A 4 C C K C R x A l L D h n V R A o K U T 6 f Q D u d p w L H C 5 G T D B D g k T E Z 1 W 1 b p J 9 Q Z w S o Y A 1 T I n 3 S C E m 9 t P T n l i 6 1 W o X B r h U B r s s C Q o X g q + f J b p 7 e s R T B Y 9 Z K K C n x K 2 b d + Q + Z i i t y o 5 d V B u R e W 7 1 H W r K B 5 J o t 1 n M g w 2 F x M R 4 u n H z t i R + o h r 4 N n + / K q l Q m N f t M M x p c r M 9 g q r U Q N j 4 t 9 b F d c i w C O Q + V 8 C m X b t 2 j V 9 m + q Z N G + l 3 v / 2 G 1 c A s U e l w b e b Q 1 y w C o A 2 z y t 2 D V x G S B y X m 2 m O P 2 G G o w g U h A O a K X v V Z R U R o / I L + F m A 8 I D 4 4 k w B j 4 x n j M Y 5 W h 2 Y m c M e p 6 t t I h 5 0 H w r I k q E C Z E t D 7 0 f 1 0 / b q 1 Y Z c Y b G X u D L U L + v d O Q 7 M R l H O g t 5 9 Z E s F g V c h O 0 o j L 3 f K V J M B i 3 q 8 R y F A 2 P v e k 9 m 9 E d T p 8 + A A 1 N j V J X c 8 X P / 2 R B F Q v X 7 4 m N h 2 A b r c K + B 1 N j c 3 6 I 3 8 8 + 6 O H + j 1 / o K 4 J O W x m o F r 5 w r l L 1 F D f K M z H j I H B Q f r 8 h 5 8 u j t L B + S X o / T a W A m T E Q 9 p A C i p v I O y w U P Y O A C J x 8 H k k 6 e s J A k T l r W q M o + w s B R w f w C B v p A u F A h S + J 9 1 L s 5 + t s C z d 5 m r k i j F T w j 2 v N U d B c m e k Q K 9 z D J U 2 V m y a 8 a w 3 h r r H o l l y u f w W C g O q P / 3 s I / 1 R Y F w 8 f 1 m 6 m 2 J m E W p x E F x F G 2 M F e L O Q E G s e z Y l c P J R W m O 2 H U I C 6 i A 0 G t 7 I R n V 1 d t E o f J W M G N j l q h N B / H U C 2 A g r / I F X + 3 / / 6 C / r Z P / k 9 m p v n Y z K R v S w g I U N l o K P R J f q k I 1 1 J F S O G A 8 f E L N 3 u e v l z j B T L U k K N z I 6 y Q e k r D Z C L t h R i A l A v F Y y Y g P U F 8 y K N r L h e q I 2 u c v w 2 b 9 0 o s S Z k I z x l O 8 V I T A B a k O X n 5 Y q 0 U k D N 1 6 x z j v 7 + X K t 4 p g I F m q 3 w 3 a m z T D R R Q s S 4 Q R K D m A r y t U 6 s 9 z s e 0 p / 8 8 / + o v 1 v D d 9 + e p b T k B E k J G h r s F x s N 6 h W k y j / 5 g 5 + y X T V C c b F 2 y f s L R 8 I E A 4 g 0 E F Q C L F p G I 8 c P x A Q 1 U U k g 9 R e a x Y R j b P H 9 K g z i i U 5 g D W L p C c p L x b K T U F D 3 J o f Q x M N G 4 8 7 w C g x D 4 c K F y 3 R M b 8 e 7 F D x h j r 5 R H 1 5 t B b h q k f k M W w J d a O M T 4 q g k x I R E F D H y 7 q B B 3 s C o a 2 r 3 a B I D A G G H A 0 g o E B L 6 D Q I g i m D E j w w J S D N U I S M h F 0 F l 1 c 0 V X r m 7 d x 7 S 0 R N H p I c h g C k l 5 e X l w g h C 4 T I T Y H y c X V Q 1 O G G A Q F 1 p A R A M 7 C X 0 M Y e 6 B 8 I x n 7 t Z w o G o F h N n G e E E Y l 8 1 3 k q C g i K i T g o 2 D M 4 Q z 6 n Z u m C M 4 G 7 G q X o v Q 1 B w T A S b R B g K T 5 8 8 p Q 0 b g 0 v H 8 / V 2 + S 2 H q l x h e a C M Q D L n j d Y k i r J r G x f l I V Y O E y v A L s N Y G U w h D A R 0 u U U g G R P a U T y p A J U U e X 5 q 0 0 I i y R w n J i D J T u A N j p 6 F u H 4 I A m d k p k v v Q j g g O t o 7 a f O 2 T T J I T c W l 8 P l r 1 2 9 S T n Y 2 9 X T 3 0 L H j R x Y J V w H S C H b T 4 M D A Y v w J h A O C U n a T A j I y f L r O 8 p 6 A 5 M W t b S S G G v q D a w 6 w V Z U D 6 F X h r V T 5 j B Q O Y r J H e 1 j V c g u H 1 9 Q M v s n f V w M Y 7 6 8 b K F Z E 8 i w G w 0 U K J H M e 2 + D d H A g 0 h p v 8 i 8 F j A / 2 B G 6 s 8 e F B L u b n Z s l m N x A T I e B v D d c Z G R Z 1 U R n o G P b h f K z Z h b 0 + f 9 D X H s A O s D Q h z w 8 b 1 9 P m P P m M G a F / 0 t j Y 2 N s m G n 2 N i w 7 C 1 X b t 3 S I N K E J N y f s C j B + J F 1 1 a U s i v g O X N N F o 5 l J C b Y e i B c n A P a s o U i J u B V E x P w 1 q t 8 S j K Z 6 Q e 6 M u a l o m 4 H C + 1 x a y 7 Z p e D s 6 Q t 0 8 k P f q t Z I E I 6 E A p Q K U p k z L z 3 O l w K z G g M H j b h 8 F 9 y 0 v 9 J N S a Z C S n j s W p t b p e b J C t j o c J t j u J k V U K u E 4 C l q k T B w 2 g w 4 C 5 r 4 + D 2 s v q G N N D Z 6 S S m / j 0 8 D k g z Z 5 F g j Z E L c f / B Y H D K L G 5 8 J S W V h Q A p h H W e m p 1 h C p c h 9 I 4 z j U 0 M B D M e 8 X 4 z A o Y O 9 / j J 4 6 5 0 S S s 2 D f r w o n f g G Y x v q C K Z 7 K 5 V i q Q g U H A 0 X C w v h c b o d e p Y z 2 v u + z I K m x X v P V 8 V P J h u + Z b X Q T h 0 j 0 Y t l J L h e i P 0 Y i Q m V r E b H B j o 5 o Z 9 g I K B 7 L q 5 v n k X b Z b i s Q W y Y B v j h R x 9 I 5 j z G h 6 K h C o g J 6 z M 0 0 C d N L d G B C A 1 A 1 V p h 4 D e G M y h A C k G F t B p u D c Q n a i o 9 V E Q z l E M C Q C F n q G v 7 u o g J s N 1 q n H 6 N h 3 8 5 Y J T + 6 l w t 7 t P S 3 E I V l b 5 N H 4 G H 9 x 9 K i 6 m B / n 6 Z 8 2 O V c R A K W K S B w S F p H W z m j O E A M 6 Q 2 b g p v x K S S M J u K 5 i g / N X J C f t E x T o 7 5 F H I 4 v e r O k c o J u n T l H l G R / 2 h S S A w z w 0 m J 8 9 D e i j l 5 D Y C N h l o j Y 9 Y 2 O s t C I k F 9 w v v + 5 u G / p f 8 9 O 4 l s 5 f 9 G H A Z o h g m C F e n F 1 x 4 T O s D c 4 A i B 9 x L 9 8 z A w 7 c 6 t u 7 R z 1 1 Z p H V Z Q U C D X F 9 J o h g k d Q 7 W t A P U t l d V K 1 Z n J C E y b R 5 Y F j g M V E b Y V C D i W V V Y w C + k l w S h K Y w 2 A 3 9 M 9 9 m Z l h u 3 L W + N v J U G p P n k K 9 + 8 9 o O 0 7 t u m P v E B p 9 8 d 6 j p m k x / A i 5 + n G b C T A p k G / 8 2 3 M Z Z U X C 8 C m C U V k k R A U y r B v 6 k W L J Z l u q j F 1 R A o H C A 7 n F q w i e 2 y 0 X C c 4 B p B R 0 T 6 R K T V e 4 W B N 9 g z d v H q J T h z a J E S k J v 9 1 t r V S c V m 5 O C h m M U G Q 7 S h 0 y / W w S n n 0 r / 6 E M v / V B v r T n 2 y m 4 a F B K l p V v O h V Q / t k S J i r l 6 / T s R N H 6 U 8 3 / Z I + + L + z q S g / h 5 p b 2 i m P i W z X r h 3 y X h A B s t h X r 6 m S X o J W g I s c w V 8 z A q 0 H i O t 6 p 1 d t h S f 0 + / D y v V n y j Q D G B E e k 0 G A o s x W M W d J 5 z D U z m V O i f 5 z i v u F i Y G C I 1 Y 1 k c V B g o D L S b T D 8 u Z 4 N 6 N b W d l n I p Q C f Q k B Y Y a j X m w 4 E 9 W w p w A z Z h 3 f v 8 L k 9 l z q n G 9 d u S R w N N V j Y S G g W E w r 1 Q w m U v + E j t p 2 y K T r e 6 4 w A M b W 1 N D N x x C x m J 6 T E x l H G y U z i / y n q v w 1 L N W 1 p e c U i M c G O i o 9 j K R F r p 8 r q K r l W / 1 f t 7 7 E k c l P f w L B c A 0 V M A A j v 8 J G D 1 N L U K k W O C i h 6 h G f x / L l L 9 O j R M 3 r 0 + I n + i h d o W Q 3 0 j k d J f A y d d N E E 1 E h M V r O N 3 x T e S g m V b P f Q v k q v X n z u z H k 6 Y R q L q Q B u b T W k G N F + j O 0 P 1 E F V A d w S A 8 P Q L d W o Y o A g M c 8 V A 9 i w Q R A / g r c t L 8 9 / r D / i U H g / R o c a g e c 6 O v u o r F S z P x R 3 h R u o 2 V n N 9 k n c k l U / B R z z 8 Z O n t H m T N 0 4 F h M u d k f O m y v h R i i L d n V x a e y 4 F D / / 7 e d 3 P K P 8 P v q D / 8 7 c 7 q L R C Y 2 7 D g w M y G A 7 E h y H Y q 4 p L x G a D 2 j 0 2 G y s Z 2 / E D 5 4 W A M F L V D H T I R c k 7 V M S 7 d x 9 Q N U u s K L a N V T d e l O r v 3 u M d G 2 S M R b U O e u j 8 + S t U s t k 6 A x 6 S O 9 h g t N e F t 5 K g R u u + o r x M 7 + Z E S X S g w c 1 o i o i p E 1 Z q A G I w 6 O u N K Y V W Q C I t q n b L S r 1 V o E Z g K s N n P / C m F C F D / D 7 b b L l 5 O T 6 f Q d Y D X M W R A G 5 v E F Z Z 1 j x V 5 7 5 c R N 8 8 Q f B W a y y N m / o M B o M K F I M I M c s K G x c O B z A E T M N A W 2 j M w g X x K n t M Z S 8 o q C p Z r J W s h b 4 e U 3 W / p B 9 9 8 b n l + g A Y a o d y f X T g b W 1 u o 0 8 + + 1 A c F H g / v u 9 X 1 0 Y o P b t Q s s H R x W h k + q 1 V q g R v J U F N j o / S F 7 t D R 9 8 B G N T o d q o 4 l x m D r E a g X z c i + s b R N b d v 3 6 U d O 7 b z 5 w I v E J r 3 2 2 w L o k Y a g Y W + f f s e r V t X w 1 e Q 6 N 6 d e 3 T s u L 9 D I B j Q s V Q 1 / o 8 k U G s G N j 1 6 6 k E a A 1 f Z K J 9 h 4 3 y p q I p 5 Q h W r q / V H 4 a O + P 4 b a L V T Y q f E R O r g h R R K J z U D e I p r K / P 4 f / G T R m T T K T B B u / m 3 b t 0 h f R e P m h C o X z p z b 7 x N v J b k n p w Z X 0 4 y A m h Z s G g O i 8 p W V F Z I m A + 8 U H B c w i J F Z H o y Y A L T Z M h M T A O 6 5 h 1 U R x F d Q 0 3 T k a O R p S 4 k G P R 9 x E z U O J R x A g s B 2 u n b t h k h h q K U K L 0 N M g B U x I Y a E G 7 x z A K p j F S B l I d m s i A l I S s 2 U 8 v G h S d / z u n 7 9 p j C 6 n / 7 e j + n 8 2 Q s i / Q G U 1 S 8 w E 0 M j f i M x n W Q p i n z K t x 1 v r f y c M H U T C g S o B 1 Y l C m b A z m p j n T 0 n O 0 f q k M K J X W F g W D C g H A G u 3 3 C O Z Q Z G 8 x t x M U S P b d h z Z 0 6 f l z Q f l F + A q A 4 c 2 C c 2 o l K n X p d X C + N f c J u d 1 o o d 4 T h Q N U n h Z G y A 6 D p H v T l 3 7 R 2 d t H Z t j a w J M j T Q Z x 0 / A Z I f T C o 6 K p p i b U 7 6 R e O / p L t P 6 + U 1 / M J I 2 h S g b u 3 7 w F t L U O E C m w n Z 4 q E g g 4 1 5 8 c w T C 4 M B / b d D I Z B t E A r Y j I n D l 2 Q T K f Q 6 o i Q m h q n k 6 B S L 0 Z u Q C u g 5 D m c I p s 4 j 5 x D N V j B T V g G x l l d F T E o N B d D q 2 H h + G A s D F R u F f n B G X G 4 J n q F v h L F t d I n M K / Z O N I Q n t b 9 / g O 6 w 6 g y v Y 0 Z G O n 3 6 7 Q 6 q d 5 y j X 3 x 9 l i 7 d f R T x 7 9 t V N k f H A j Q d f Z 1 4 4 w Q V 7 v 6 b c v S J s R 9 K S g C Y V B E O 4 A q P B M Z 6 q 1 c J b N K 2 t j a W M H v Z 0 N a f Z D z p i a U + 3 l i I o 0 m Q l S U f a q H W M A c 3 S 8 G N m z d Q Q 8 e Y b L R n v Z E H s w N h m I 1 + 9 G Z A c B V e S N h o C m 3 N m q c T U s X Y N z 4 c o I c 8 t L q 6 v h i q 7 b L L 9 E H l M v / o 4 w / E 0 4 d B 4 J i 4 / 7 h W c 5 e X 9 G q q 9 D + c u y p / I 4 W x U P N N 4 Y 0 T l I H h B Q T S V K D K i O e M C R D t t A B s N q g 6 6 A Y E T o k b 4 k Z x I a p J o Z / j c + C C 4 e L y 5 a u y 0 M H Q 0 9 M j A d V I g Y 2 0 S s + L 2 7 j K G x 4 A c v O 1 w j / c s H F R B m / V / u v s i 3 h q m 4 o 8 g B 0 K j 7 u 1 E n M 1 T R C 9 8 g a Y u E B Y Z Z W V 0 h V o K d I Q W Q w P 2 Z b q G t W 6 C k F V n 5 j Q + l W Y p f y x E 0 f o X / z 9 Z 1 T 2 i z 3 0 2 Y N U + s / / 8 k / 0 V 8 L D W j 1 Y / r p U 4 G B 4 K 7 1 8 e 8 p d l B r v P S 2 4 V j H 7 F u X a 4 N S o 7 z F z b O O i Y K G u X b 3 O x D Y h m d Q g T B B d q C J C B R j 6 s I 9 Q t B g I 2 G D X r 9 + i g 2 y P R Y o X r O J g q i I I H N n W n V M Z i 8 H f w 6 t d i x X J Z u D Z K 4 1 x 5 H z N t v n W n F 6 2 N T V n j L H G K F S n 1 U i Q O H R R b F l g f m G e Y m y + l b s o Y N y y c R t d u X 5 Z q q E j I Q 7 U z M n Y o e + B o N 6 4 h A o H t R 0 2 G e G C w B / U I 5 R / T 7 B U Q n o M i A I u c s X F 1 Q 3 A e 8 + f u y i G L d K R j h 4 7 K B F 5 D E H D 5 / A 6 J B o 8 Z E b b w I y / / + 0 1 6 h z 3 b W F l R n t 7 J 2 3 f v k V / F B n w 3 V A n 8 b u g 4 q R 7 O q g 0 6 q m 8 d r 3 F X 3 0 b n Y k S g x w b 5 H U T E 1 A 3 6 q 0 k b n x R t 3 i t D D z r p V G x Y Q 9 d v n R F 7 v 9 q 6 h / k 7 + n v z r E W 0 i 8 t C d A O Y N o 1 w a q h d Q F i M C A 5 G J 3 k C t P c t J k 1 g A j M 5 p f G W 0 l Q E 2 N D d O b U W U p K S a K G h i Z Z U P T 8 f v q 0 T n + H P x C L O X P m H B 0 / c V R U J Q C 2 y L f f n F n c E D d v 3 B Y b A I H g f / j y t 5 K i h L H / T 5 / V S R c i t C 7 G G M 5 d B 4 7 S j Z t 3 6 Y r e O t k K a H C y 1 D b J n R 1 d E s h E 7 A X n C r d 3 R U U Z 2 f v O 0 p y B Y M C V c b v b F v t a + w a a Y e w A t H b j Z v G w 9 f f 2 0 v o 8 / 0 z v p e J p X 4 L E z t A n b / P E H 4 r z B T V S s U k F f C 3 K W d 0 + K Y 6 Y z n a t A W i k x I y I C C b t Y 6 R p Z f b r 4 U J W 5 / R W q n x j A + 2 0 p 2 y e V b x M I Z T 0 j H R p n g / n g 3 I T b 9 + x n f V w T U 1 y u l x 0 h Y n j p E V 6 E l S z r 7 4 6 J c V y m z a v D 3 u s 5 d m z l 2 j P n h 0 B x 8 N A y q G G K B y v Y X t 7 O 9 l Y R U X Z O 7 r G H j p 8 k G p 7 k 1 m 1 9 b W f U I I O V f b 5 p H X e 4 p t E T c Y Q F e c l C z N S 6 v X 1 Z r u M 8 H l V O F T m o A v 1 s R Q T p z G m l N E r M v Q N U A F r 2 M m Y I R y J + p a f q g 2 F A B + 1 L T i p L D u a K n P c S 5 7 I E g n e S g m V n l t K L 6 Y r q b G l S 4 g J R I B A 7 C e f f i R t h T E k 7 M a N m / q 7 i X r 5 w i t i g v 2 D C D w 8 e g j i I q C 7 f s N a O n L k g A R 2 w 8 H Y 2 D j F x 8 X S v D s w Z 0 M O G g K r 4 e B 5 X T 3 N T G u l D V u 2 b h b b z E x M A E o e z C P + F d I S P J L 3 F 2 4 / i Z f F i 9 F s c s 7 O + N i q r 5 K Y A G S x R M V 6 N 3 l v j J a P C C J + / r x e J s 6 v Y 2 I y S u 1 w g I x 7 E N N / b f q Q f v F / / D 8 y g Q N d q 9 4 E 3 k q C U u i 1 e S U K 4 j Z q 6 j s k F N S 2 0 8 z t k c e G 5 F Q s A t 7 j G H d I i y v Y T I 3 1 T b w p 5 q h K r 6 N C 4 m U 4 u H X z F q 1 b v 5 a u X / U S r R E T k 9 q I T k w a B J F 2 s A q H D H U j u r t 7 h I D Q g w E j R O E C h 4 q J p v 2 B s L q q k n / D L B 2 r d o q a A u J R t 9 1 l L 5 d E u x Q M O 5 O p i 6 U r M G I a R / o q M D W F 4 l B v h k V y S o a o u L d r W 8 V p 4 4 l O F a l y q T F 8 y a J G z w B H W / 6 K 1 q e v o g 2 F c y E n D 7 4 q v J U q n x k l M Q 1 U V p y n p a f w u i a h G w + K 2 t I z x K g H 0 F 2 1 k G 2 R 8 2 c v s i T T M p C v X r 1 B p a U l 4 n p G R v a W z Z t M K h p + u u 9 G g U v b x R Y t K k q R X q Q c H g D q j k A k a I 6 I d l 9 Q S 0 D k K F N A w u y 9 O / d p m o 1 p j F h B s i o + C 3 c 9 s q f h Z B k Z H q W S E v 8 y c i N w f B T q B Z q U g e H a N 1 t f X d w p G O B t 3 J Y 3 J D 3 F L 9 b H k Z s v 1 6 t q m I C r e p g Z x y W L D B F 8 7 7 4 K V 8 j s E T N g A R g D 0 8 C W V X M y t g b Y V u y i B 5 2 B 7 e J X g b d a Q i l M x J S L G x t l 1 U i m h L s Z p d Z o d K 8 A a R F n t 8 u g M A W 0 q 8 J m R v F b P m 9 4 f 3 v H / J j o / v 1 a + Q w 8 e K o F M g g H J Q 1 I 3 M z N z R V i A i C l W l p a 5 L x i o q M l i w E x l B 9 8 / o n Y X p g 7 p U o R b t 2 4 T U n J o Z 0 Y S P R F Y x V 4 E T G z a Q x t k A 2 q 6 p s i J g D O i f G J K a m C n W N e t r f c R U e q v X l 8 L w P 0 v r A z A V g V W K I 9 c q T E B J i J C Q A x F b D U 2 s 8 E m p 3 8 + m X H s i A o h z O W h i e 1 r A F I H / R A u H z x q n j K z M j K 8 i b W w n O k Y k m h S u O R Y I t 0 n 2 3 b N s t j 1 A N 1 d / V K R X B n Z 6 c c C x 1 d j R I L 7 v s 9 e 3 a T a 8 4 l w e Z A g J Q q Y C l p j w 2 P O y L o W V p a T M e P H 2 F p r H k 6 g W c 9 b 8 Y O M O L Z e J k E Z Y G Y 6 H k 6 9 M s j f A 3 k 4 U s B 4 1 S R F I y q Z T P 0 P N m X B m q i U u M 9 1 D 8 e 5 d e 8 5 n V h W a h 8 C n Z i V W q t N v X v 0 q U r d P j w Q Z + y D X R G R d A X G x K Q 1 s Y j I + S O Y S k 1 M 0 l F h U W U Y g g Y A 5 A y F y 9 c l k l / s I U w w g V w O l 2 i / k F a h A M E k 6 F + m t t d G Q G p g 9 5 1 4 f Z d B + a Y k G P 1 3 / N 9 R P 6 N q M h y y 7 g X c 1 n F y 8 A 5 3 E A 7 q + L o X m 8 2 2 e O D x / 6 C Y R u r d g 9 0 1 c 4 M u N D R p / 5 N X L 9 l R V A K S O U H k 4 R K B C 6 u A O J 4 8 a J e M p k B X M C Z m S l K S P A u F L Q + T M 5 Q e F 7 3 X N y y Z q B B f 5 W p 7 B 6 2 E k o + j F J K A d I N 5 Q h 5 r H I a R 8 O Y 8 f R J n X g d r Y 5 h x v 3 7 D 1 j 1 1 P p o P G X p h L j K c k a g e q b M y Z u U l p 5 K X Q v r I y p j U Q C x g G i Q b f K m v H m B E P 1 n f / a n f z k 6 7 c 0 2 W A 5 o G Y r h x W F u M D 9 J 7 b N F k h z a z M + 1 D E b T k C u N u s f j p J 4 G Q J 8 D I 8 A 9 i j I w m U G L q L e 2 o 3 G + b 4 9 x A E 4 E f F a p i q j s R a d a O C t k y F d U l K T H d H Z 2 k 9 P l l G w M p m d 6 + O A R S 8 h Y q q 9 v 8 K l T A r F / / f U p G W g A p 0 Z a W s q i J M V r 8 F D i M c o 0 4 K m E 9 0 u V 9 u O 4 j 1 7 h h I j v C 7 C N 4 L F E T K j F M E z 6 4 O Z c y R o p Z w m I d Q w X U z 0 P a a j u N K 2 u 0 r y t 8 f F 2 6 h z 9 f p m O 7 f 7 9 W w s J W d W S B f w u A g 1 N M H a m 2 E K X R 3 f U m r V r q L M D K V B E 1 W t W L 8 Z l z C 2 E z Q C R n D 1 z n p x s m 4 F Z o c t p b G y M e P 8 e d c d Q W f I w N b J t l M + 2 V W 9 3 L 5 V V l F E P / 9 1 s M f D g + 1 b 1 X j W g I U B T U L 9 r e 7 G L s n S H Q b i / F T b R t o J x W Y e 0 t D R y z C z Q / a 6 l q 4 y v C l G I z W Q n L 0 H O r h B g C v i j T s 3 T B H e 1 E W v X 1 7 A U u k Z r a t Z I b Z I x y B k q 7 Q h E h E k b H 3 3 2 K X 3 2 + S d 0 8 o N j M l B A 1 E Z + H Z t g x 8 7 t L B 0 L a e e u 7 V T L k u 1 d I C Z A Z S x A W h W k u e l + p 1 0 Y V j i I Y 7 U R y d P w 2 q E p D i Y w I m M m K + X t E A h R 6 E k N 9 Q m D l d 9 V F K Z p F b E d 7 R 3 S H r i p u U X i X O g x B 6 k E p C R H z v 2 S 0 n K o p 6 d P 7 A J 4 r p A 2 B S f J h i J / V 7 E 5 i 2 N s 5 t U V D b 6 N U L 9 t Y + G 8 2 M T w + G F I 9 N 5 V 1 s W i C 1 3 n x G 7 e W + Y i 9 + y o e F 2 x V r v 3 G N q T e f m d H 4 w W z e v 0 + C 2 e Q l V O h P k d K w i x z i 7 q 6 + s X 1 3 Z W Z q Y k 0 N 6 / W y s V s o h v A Z k B A q 2 B A D f 6 0 G Q M l R b n S 5 u u y V m b p C r B 1 r K G d 5 E v N N j p T t v y t 5 k C Q e 1 t 1 Y c C j y G t n G z T X m 6 2 z p 0 8 e X w / e d q / p u t X r l B M d I y k a S W l J t I H X 3 1 K f / H X l + Q 9 x n 6 E a I 9 2 q M o p E y R z W F g Y y 4 F y W C N 7 X b 3 7 b O O O w Y X G t k H q c K 6 S N k 2 O M H s 5 r C Q o n V 4 B 0 s L B B J G t N 9 G E O x 6 I Z G r f z Z u 3 Z Y Q M V B m t e b 2 H 5 p 0 T 9 O l W a w / g q V N n 6 O O P P 6 D z / F 5 k J K x 0 4 H L j Z 4 K R V x g G J w S S y i C K r c V e K T 4 w N U B H v 9 Q y Y j 7 + q z + X v x / 8 8 u f y N z n O Q 5 P O w O I K L c l c T L y Q W q n 8 X r R c e 1 W X P A q x l t V l O e J 6 R O M Q E B V m G C E g 9 i 4 A F 9 e c Q A H P X t 1 T b R I 6 Y l 4 o + 4 h 0 B K Z j z E H n z l 6 g r 7 8 5 Q 1 1 1 l 6 m 9 9 j u q T u 4 W Z 4 U V 0 O z l n J 7 e 8 y 4 A P x O X v W n Q 1 / a p y r F O Y D b 2 p A D + 6 a k / 0 u / 5 A 1 P d A T T t N M c d A e 8 w B V 4 n J i b Y Z J C Q a P 2 t 9 o J 5 T 4 S L K H N D d u R Q Q R y u z x q W L 8 H 9 Z e R R j x j g V C o / D c z l V 7 / 8 t Z Q M Y B Y V c O P 6 b Z E c k Q D q 3 r 7 9 e 6 m y q p I q t n 9 C q 9 Y d p s p t H 9 P q 1 Z U y / A z d l 8 y I L z 4 o r v l 3 C W q r G 2 N P F d l o l K m l O Z k x a m h y m R p j X X 2 N z 0 b z D X s X n X D R S x 4 o T v d + i f p e h E 5 A O O g 1 L 2 l L / I L a 6 1 h + 9 B I 8 s t p J s T r N B 2 K G S K F S C C g X k V M G Q F q h E S N K s 0 v j u y U L G l J s J U F 5 n e q e v a D P f v C J e P A O H T 4 g z 9 E S R t 0 g F e n J k 2 f 0 5 P E T K s t y 8 7 V z 0 u Z V G r G g H K G w M J / O S i 8 6 b Z F f 8 M K P z G C c y 7 s X u r D z T z b n 7 W G / o a k L m D l q m x S e 9 / N 1 0 g s t f / H x L + W v Q t n n m o f 0 M N t N r n k b 3 W + P 9 Q n g d + o t B p T t h H 2 8 v n B u k Z l C U i K 5 V r V 3 Q 4 b 6 t p I 5 O b + j v H 4 g 0 I n G M 1 I F b I b L 8 J T Y U P r 9 R b h c T r L b f X / k Y F 8 f Z e f l M Q X r J M x Y S V 4 o j 8 d N 5 d F 1 h A 5 D A K Q F y u U X + B + a Z U Y C c L K W 9 n 6 K j Z o P m F 2 O Q C 4 S c f f s 2 c W q X u D M i n c J 2 L Q K 4 f a v g F o H S W Q E j o O 9 i b + R p E l h C N 4 M 8 z 1 M m 7 T C 6 e / O 0 o c f n Z T 7 M 3 M 2 a X m t 1 E c F P 4 J C V 1 A E I Y 2 E A 8 C W M M Z h A F D 3 x Y Z Y P m F W m z y + 7 1 + O s C 3 M k 6 v 1 G 1 Y D b D Q 1 P U M f f n h c G 4 u 5 B H x z u Z 4 + P b x G f x Q Y v 7 0 x Q A k Z w Q d Y v 0 s 4 v g Y z i B d e q i G M I i g 4 J 9 C m r W 8 8 8 u N g + + 9 h a W W 0 w Y w E p f C 0 J 5 Z 6 H N 7 j + 3 0 T S r U n J v w 7 s S p i 8 t E j m a s f X z N H J / g i L H 9 y 4 t 9 m i y E P x U i L r z X V q 6 m t t U N m P y 0 F a D E W D t 4 T k y 8 w 3 B v E g G z 0 p U J p T v D 0 L Y W Y A G x z 2 F a h t D C o h s p d X 5 r p 9 i c o N A 1 J T P Q N Y m L + j y I k T J A D M P E O x D c O t Y h f K 0 8 N 3 Z B y O a B q + 4 c y P E 3 d V l d X S t Y 6 g A z 0 7 u 7 u s J w H c Y l p N D 0 b u n N p x W t q I L L c U Z 3 r r V j e q v c u h A M h P c H A 0 F 8 D 1 u g T M 6 2 g s v 7 N Q B F j R u K C x N V 8 C G p s V C M K R T x Q 8 4 A E N t K V C o i k T b y O t l 4 j Q 0 O S W Y 3 3 2 V a I Q W 3 s w Q 3 g 9 6 G x C v q J o 4 k K W g V P T k 3 S o 0 f + w 8 C M + P k P t 9 H f / f p S y O z n u J V x 2 V 4 5 0 H A T 0 u F a c y y 1 8 k Y 9 U O k S J 8 M u V s N A Z K j q V f O X I 4 G a h W U E C E K h X k + q V i h K 8 y z a Y P E G j / j d 9 l i 5 K U z q v N P H h k J A U 2 V X g 2 g 0 G v K K X n i l 8 E j V 6 C D r W n u f T V p u v e 2 j R s J F T f 4 c l W R 4 v X u Q T K j 2 R T a 4 Y i y 1 t Y + l I t g K G A I H p 0 P D c B J l u N t p 8 4 7 d l J J g s Z K M o a k o e h B B E / z 3 0 I B l y E j w U A 6 r W 0 g 5 Q s 8 I q I k o 4 d h a 7 C L n X J S k b z U N a g 1 b X K 5 Z y k u 3 0 6 o M t x B r u E D T T O V 4 y J 6 5 R d u 2 b Z X 8 T 1 V W D 6 D h D u K 2 c I D Y H G M D C y j v R g m 3 G l g M S F P 4 V M 3 X D 5 U P L Y c b R 1 O o P G 2 K 0 l O 1 x F B 4 / j K y 0 c 0 1 R o K S K w X m z A k r n D 1 z Q R J e r f C b 7 + 7 S j z / S J u + B 4 a D S + M r l G / S D H / / Y M u U l l J 7 + H u E D X j / E o Z 4 a N I M o 5 y C V J I 9 R i 7 N C N K y l Y m Z 6 g r U 1 a y c V w k t Y 2 y h w X N h N 5 m V G T w R 4 / N D n G l 6 / Y V c a U / 7 C I j E J 2 I Z y T H t W F D E B T 8 I o N S 8 r L x F V F 5 L I j O Q o b z k 8 r i 8 a N q a m J t G X p x / r z 3 o B g l t l q 1 t U r 9 / j 5 Q A X u l n N j k 7 M p r Y 5 l N 4 s n Z i A Q M Q E Q E M D Y 4 z + i 7 / 4 s 7 / E E 2 a X O L r v J C Y l U a z d L m 5 x G F 1 m u O f n 6 G 6 P / 0 C y 5 Y 4 p Z 5 Q U w Q U D C A l 9 K N A a D K 3 C U K m L r k h g T l C N z V 2 L J i c m a W g + k 6 K m O 0 W F R P / A 2 7 f u i B p Z W F J K X W O v t x v P S g U 0 C f + d 6 Q v P Q m B 1 I 4 1 V t d w U b T K I O a Y U C M i g m A 5 g 3 i x S k X P W t x Y I c 1 U V A q k / z 0 f 9 B z i v B J S w n h 0 K a E 2 G z H F I 8 h M n j w l D 8 i x 4 6 L f / + J V I 9 v / 5 d 7 / S 3 6 k B / S Q m e 1 H + v p 4 / W 0 j F x U U S 0 y g r L 6 W k O D 9 n q x + C l S a 8 y 1 C Z D k s F A r R p 8 W 6 q Y A a q P I r w 9 C X Z r T U G p O Z Z N Z Z R W F w m q H V o t z X Q 1 0 v T 0 1 M + A 4 m t g A H F K z E z P Y U 5 V g 3 r 4 a G A o Q T o b 7 5 + w z p 5 j G I 3 N O W M G z 9 D a e l p 0 h 5 a A R 7 R j z / 9 k B K z y 8 X x g 7 4 U Z o 0 g F H B e W 4 p C u + H f I z L s r Z i j w n Q P F e g p T n B y l G a 5 y e U O v D 7 B a g f l U 9 D j g f j 4 B M r N L 5 A 4 F E q L A Z V v Z k a 4 4 n G 5 I V D a i R m I w 6 H 4 0 F z f 9 P E f / 7 X 0 g v j 5 H / + h P I Y a e P f u A / r m d 6 d o 1 5 p k + u r 0 T T 9 7 a T w E Y 0 L p w s 7 S O c p N f U l 2 / B 5 U k + c m N Y g t y b 4 Q c H R Q o G Y x q j h R d / b 6 Q Q h q i h f d D H x g w u F Y b N P l s j C + V y L C V q 0 C X F G b H m a A 5 x R z o O C U O H b 8 M P 3 4 J 5 + T a 3 K E P j 6 + 0 6 / U P j V I s B I l 3 x j W r L 4 t 0 E K + R 2 h A p S v J n J d R o b h f 8 R J F t U j g x T H M i J r j h T e q d 5 B I Q 4 O D r L Z k U I q h B s i u j 4 g B 4 E Z f i U C 2 M b K c w 0 G s P X A s A 0 4 K O B 0 w 0 r S + s V X U P K C h o V G G x 0 E 9 N A L q s x V Q 1 7 N L M p 6 1 c 0 K j S 1 2 Z e I 8 I s c Z C j S 8 I 0 i s e x F J k k V k e i p 8 F y D Z 3 B W 3 Y C K z E 2 M n s 1 B h t z R + R / n r V 1 V X 6 s 1 4 Y u 8 + i p z m k B U b a G H H x 0 k 1 a s 3 Y t F e a l y 2 O o 0 5 g y o R U o 2 q S k Y / s O r d c e D O q r T X a f e U w K V t w P Q 9 f e 5 J y o l Y C j a 5 z U P B g t q t 5 S M D Y y Q j 2 u X B l l m p G o q d 5 G o N 4 K O X 8 K l g S F / D x M + g 6 G l R m M X B B R D i I A U z E C r u 5 7 d + 6 x / b N A t i g b S 5 k E 6 U O B Z p i P H j 6 h 0 v I S K Z l H O z A M M z B C x a r g U g f g o r 3 c G E f z A R g k 6 s 3 g T T L j f Q A 4 c o A x Y Y M v V V N W t I A s j E B 1 g M Z 1 i V I b Z 2 L c Q e N 8 A 4 I R E 1 T C R q b 4 l Q k b T b k 0 D 5 w 2 Y z e e b n W k y l 8 0 / T 9 + 8 h i d / P C 4 2 E B o / f X F T 3 4 o 0 z 1 + / s f / l G b 5 O X j 8 F D G t / + 9 b 2 b D V u B l 6 U i j H D 3 C v P T Y g M Q E v k 2 n 9 H l 4 c Z V s J e J m r i V A I E G 5 R b R R U O x B J S m o a p f I t F G B k D 0 2 u V I I i u t H i q + p i + L E Z S N P C d c O 1 U L 3 P t + / c K o 0 q F U 5 9 8 T u K j d Z U x A U 3 O s N q x 0 F 1 M P o Y R I q l f O Z d x p q 8 e c n D e 1 n E h J F d A S m Y o N u 5 s k r m 9 B m z u q O A N C R w b 1 W n v 1 K x l P 7 a i E F l Z m X Q v b s P 5 H F J i r f O q a W t T S Q c S q X D C U R a e f J Q 0 h 0 K 7 3 L w F / 0 h S j O 0 4 C x u q E 1 6 F U A i e D g 4 u N p F O 0 r m N J X P 3 A U V x v f U l L 8 r H W U c 5 + p W / q p Z D Q E z I j H R t 7 G N A l R D o K t T G 7 Q M I O Y 0 O 6 3 N V D I 2 8 w g G 9 D A w I 5 i K q A j p V Y 2 B W U 6 I Z 8 m A L r L o W G T l y X t Z q P q / c J C Z 5 E E F h v 8 q Q 5 V B k B e 9 5 M Y d Y / q z R A + 7 7 O S x h e a U y x 0 Q I m r Y g B l X L l + j j V u 0 W b D A 3 / y 5 b 7 O Q b d u 3 0 s z s L L / v u o w r v X j + M h 0 z T A h B y 6 p g Q J q X P o t 7 E U i P C Y Z 3 k Z C A 5 P g F O s S S Y S m d Y F G 6 H g 5 y 8 v w H S Q T D I k E t m K L 3 e N 5 m i 6 K 7 v V n i x c B t q T X + y x H G l l V G Q H X L z P A O d f v f / t P v 6 / d Y P Z i b o 9 / 8 + n d U V V V J h w 7 v l 8 E A L j 0 G p Q C n R z B Y q Y T f x 6 C 1 5 Y B 9 I Z h T M K B 0 P R y Y 6 S I U F l c X 5 e z G N K N L D V o 6 u n v h 3 V z M m C h r r o f u S I F w 7 e p N + s l P f y g S X q F m 3 R o f D 9 / g R O R M a S Q A c b / L g K r 3 J o A U s 0 j g s 1 K Q S i A q E B I a Q L 7 L Q C W t F V 4 8 b 9 T v E Y 1 P T C w S y 7 m z F 2 n / g T 1 y 3 w i M E U U p D I B Z t e E 0 D b l l C B S + b D b 1 S s W s R T D 8 V S D + w V b 6 9 w d / o z 8 i S k 3 X A v T h w m 9 1 L z b 6 O i j e w x e V q y t k 6 g P Q 3 N R M z c 0 t M l J 0 0 + Y N f t k l Y E 6 Y 4 L F A 0 c K k 1 K z a U B i f t S 2 q 2 a o J 5 3 v 4 A i X v q u n l q 0 J 3 / S j 9 i z / 6 c 5 o a 8 6 q S k T g l A F t / X 8 c C T i t O b 0 D x K u e n L n d Y l c L X P s S E w h h q b G y m H 3 / x u f 6 s N Z D T V 1 C Q T 4 9 q H 9 N A / M 5 3 s j P s 6 w I 8 m 2 j X H G 7 u Z b i Y G n V S Y r o W Y z Q D H t t Q Z T f i l F D E J H i 3 N T 0 f o E W y G b j Q G z a u 9 y E m g 4 n k A x Q h N r E U q 1 q / / T 0 x v W L A s / k 6 G H 9 S R t w i M Z m P P z U Z e N K / g m R K A N P T W t w p 0 O Z 4 F 9 E 1 F k 0 O x w T 9 w 5 e / F e 4 0 N T 2 9 2 P N d I W X m A i 0 8 2 E L d X 2 p 1 U b C p 0 J Q F A L O q q V n j N 2 H i P V 4 N H g e Y + v 6 q I N q a g R 7 i 4 k K 3 z F 6 U X 4 m J y a K z v 4 c v b n a m 0 + c / / E T 6 n A 8 N D v l N h g f + M f 8 o / Z f / 8 N c 0 P e G k a 9 d u S u I s J i I C m N 7 + P k P 8 9 W D C 6 Z 2 c 8 j q w q W i e e s a 8 a 4 c k C D D W m e k p Q t k T P I C T E x M S L o G 9 D A m 2 m G 3 e O h w d M J j 5 r g O T R w J V d v 6 0 / 2 f U 7 x 6 g q A U b / S b x V x Q f F y f p R / v 2 7 x E 1 D 8 P W 3 u P 1 I d j a v C x w V G U B Q V L N z 7 m k a V E w C E G 9 l 0 y h Y V W f Z A V 4 / T B G F M b r + + v 6 + l G V 4 3 7 l 7 a x B P M o n 0 e O I l h E 2 w 1 M 2 S o 6 Z X S z B C Y S o g X c o + + F l M B V m S U V l J Z o p R k n M 6 T 1 e P 9 A Z d q l 4 x D Y Y m J 6 5 j x + I C W 2 W k T + Z q H c / y k p a o N m Z 0 J X q t i 9 v j b 8 e e b n C k G x f o H 2 V 4 a W 6 o E K 0 e e i 9 + v y m E K 7 2 g N K c U L V m G I 0 L l z x s M 3 P I B J P n E T I J h v f i K U w U h 1 k O g P 4 Q 7 4 n p 7 Q I k B i R R O I W b 5 / U u y C A m T E J 0 G b T J c P L 6 3 k u o M I G p D R j V r 4 A + E N 1 j U T T L F 3 x 4 M j p k R v h 7 v B 4 c 4 T U x l 8 V A 3 U Z W y m J s l n d 4 J J u 8 O M N N 1 b l u u t h g l 2 k f q f r Q N T Q n Q k P Y 9 M z A 3 Z L f E 1 S E w H Q 9 9 w q Y 1 r i S g E k p e a n a 7 G f z v N 6 l Q E 3 c g J S C 6 q d U S v R Y T E 5 O l o L c Q M 6 J 9 y p f h H h P T G 8 f O k a j 6 G 6 7 / Z U Q E 6 C a u G J E D S Z q Y B I i 4 J z R C k V B T L C n z F j w e O h / A a O S 6 f + W 2 c v 5 A A A A A E l F T k S u Q m C C < / I m a g e > < / T o u r > < / T o u r s > < / V i s u a l i z a t i o n > 
</file>

<file path=customXml/item3.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f 6 f a f 4 b 2 - 0 1 b d - 4 2 6 2 - 9 1 0 1 - a 6 8 5 0 5 f 6 2 6 0 3 " > < T r a n s i t i o n > M o v e T o < / T r a n s i t i o n > < E f f e c t > S t a t i o n < / E f f e c t > < T h e m e > B i n g R o a d < / T h e m e > < T h e m e W i t h L a b e l > f a l s e < / T h e m e W i t h L a b e l > < F l a t M o d e E n a b l e d > t r u e < / F l a t M o d e E n a b l e d > < D u r a t i o n > 1 0 0 0 0 0 0 0 0 < / D u r a t i o n > < T r a n s i t i o n D u r a t i o n > 3 0 0 0 0 0 0 0 < / T r a n s i t i o n D u r a t i o n > < S p e e d > 0 . 5 < / S p e e d > < F r a m e > < C a m e r a > < L a t i t u d e > 1 6 . 8 0 6 1 9 2 7 2 5 8 7 4 7 9 4 < / L a t i t u d e > < L o n g i t u d e > 4 8 . 9 5 5 9 9 5 7 0 4 5 2 7 6 < / L o n g i t u d e > < R o t a t i o n > 0 < / R o t a t i o n > < P i v o t A n g l e > 0 . 0 0 1 7 9 7 9 1 2 4 8 2 0 2 6 8 0 0 9 < / P i v o t A n g l e > < D i s t a n c e > 2 . 3 4 3 7 5 < / D i s t a n c e > < / C a m e r a > < I m a g e > i V B O R w 0 K G g o A A A A N S U h E U g A A A N Q A A A B 1 C A Y A A A A 2 n s 9 T A A A A A X N S R 0 I A r s 4 c 6 Q A A A A R n Q U 1 B A A C x j w v 8 Y Q U A A A A J c E h Z c w A A A q 0 A A A K t A c B V E 3 c A A E y E S U R B V H h e 7 b 1 X c C R r d h 5 4 C q b g v Q c a H o 1 G e + + 9 u 3 7 u z N w Z k h p R M W T o Y R k b q w 0 9 K M g g F T J U 6 E W x w Z V e + M S I X U k c L Z e a u Z z h z D V 9 2 3 v v 0 A 7 d 8 N 7 b g q 8 C q q D z n c w f l Z W V 5 d D m N t D 9 d V S j b F Z W / v / x z v b l r f E F W s b Y s m q e H n X H 0 M k a J 8 2 5 b X S x w a 6 / E h i x 0 Q t 0 t N o l 9 8 8 8 j 5 O / w K E q J / U 4 o q k i 2 0 3 n X s T R C T 6 m 2 0 N 0 v t 7 7 H o X q v H l q 6 I + h 4 g w 3 1 e T N k c 1 m k + f P X H 5 E H x z e T O M O B 6 W k p t H j 7 l j a v G p O X p u f m + P b P M U n J t D 0 1 C R d 7 8 y i b c V z l J X k o f 6 e H s o r L J T 3 G e H x e C g q K k p / p A H P O W d n 5 T v j E x L k u Y l Z G 6 X E a 0 v Z 1 9 1 F + U W r 5 L 4 Z C w s L i + e q 4 H I 5 + b k o i o 2 N l c f O W S e N j o 5 Q f k G B P H 4 T w P V I T E r W H y 0 N Y y M j c l 2 s r m M o t L c 0 U 2 l F p f 7 I G k 9 6 Y q n X 4 b s W Z g R / 9 S 0 H C A P E t L d c I 4 5 w i A k A 4 Y G Q j M Q E X G m K E 2 I C d p Z q x 3 T O e z d f j G E f g p i A x p 5 Z 6 u s b o C u X r 9 K c a 4 4 y U u P l + d S 0 N C a q 0 U V i G u X F j u E N C 2 I C 3 E y p J 9 Y 4 h Z g A b A I Q i k J v d z e / x y 3 E 1 M f E Z g S e S 0 h M F G I C g T z h a 5 A U 5 + W L w Y h p Z n p a f + S F c 2 Z m k Z i A u P g 4 y s 3 L 0 x 9 F B n y H y 6 V d u 2 D o 6 + m m w f 4 + I S T c B z G 1 j 0 b r r 0 a O w Y F + S s / M J H u c P / M L B 0 U l p f o 9 a 7 h 4 H 4 Q i J m B Z E 1 Q c 7 + n V T A D x s d p m + m C t U 2 6 R Y n X O H N l j f A V 1 W o L 2 e M q l U V F V z j z N G 9 6 C 7 1 m V z t I m I Y k K C v L o 4 K E D 5 G R O 7 5 w a 0 d 9 B N D k 5 J X 9 B E B m 8 2 E a k p K Z S R 2 u L 3 J + d n a G h g Q E h l I l x h z x X U F R E 0 d H R 1 N 3 R Q f l M b J A i V h j s 7 y U 3 n 1 e U T u y z M 7 P a H Q u M j 4 3 x x k 3 S H 3 k x P j E p x G s E z m V 6 a o p c T q f c w g W k n 9 0 e m r H l F x Z R T l 6 + E B L u z z M v m X b a a H b O V 3 q G g / n 5 e c r J z W O G 5 q K M r C z 9 2 f A B g o 6 J 0 R i k F V z M g C 8 1 h s e s l z V B T f I C N A 5 G U 4 z h V x g l S j j A Z 8 u z P c K B g C 4 T l x y e 0 g 7 e N O i 9 4 D u K N Q 6 8 r s C 9 S M D Y S M n J y e T h x V W A y g S p A 4 I w A y p e X H y 8 S K r 4 + A T K z s 2 V 5 1 0 s 5 R T m W E U s W L V K u L 7 d H i c b B 8 c D Z 1 d I S c 8 T t R f A 8 / E J m o S 0 w h i r c V Y o 4 u / o Y s I 1 A 9 I D H F 9 x / f l 5 7 7 l Z A e f W 0 9 W l P w o O o z Q e m o y i 0 e k o W p v P D E p n j m Z A h Z 5 h S Y p z g u r M s l C Y A K 7 R E E u n 4 a E h i t U J e a C v V / 7 2 d P r / J i v k F Q R X E S + F q f k A y 9 6 G A k o y 5 9 m O c f P G I 7 r Z Z q d J t i f C h S K I g Y k o q u 1 i l Y w X 9 F C V i 5 e L a I a l 0 7 V m / 4 t Z k d B B 0 Q s z L B V s 1 N 7 e y c 8 s 0 O Y t m y i N 1 b z J y U m a m p q m 3 N w c I b K J 8 X G R R g r 9 v b 0 s r b J 4 k 9 q F 8 x t V l C n + r J O f y 9 S 5 L C R b P K t f 4 O J Q F w F I G e K f l 8 T P 9 b C t h N c W P G 6 W Z j E s 6 d h + Y C I e G x n l 7 2 a 1 k p + 3 x 9 p F F V I Y G h y k 7 J w c / Z E G b G 6 z n Q a A y F a V l O i P v I A 6 m s M q I b i 6 h z f 1 A E t X Z W 9 Z 2 W h m g B A g f Y 2 4 2 x 4 r U n Z 7 i T / R j g 4 P R y R 5 z L 9 n g R / b L H 6 f Q q D f D 2 B P Y G + E i 2 V P U J m J H i r K Y C m Q 6 s Y + E 5 h t o 2 A A Q X n 4 C s A J c Y x t m p 6 x a C Z Q d 9 B j 5 C b P 0 Z Z i L 4 c F Q E i X L l 6 l 3 X t 2 U X Z 2 J n 3 z 9 X e 8 S D Z a W 7 N a X s / K z m K 7 K l 0 2 f T x L J m x K q H W w r Z J Y s k F N g l F t 3 P x G N A / Y q D L X u 1 R w Q o A 7 J 9 u Z a E x 2 w 9 j I M B 8 n + A Z s b W 6 i M j b C s f k d o 6 O U l p G h v 6 I h H C N 9 c m J C p E W g c w b u M a H s K P U l E q s N f o c Z Y Q a v 5 e p c r 4 R X A J H e b o u j P b q t b I a b J X e 0 h c p m J t w R l m L J z N y U 6 j s 6 P C T X M D U 9 g 5 8 b p b L K K v 2 d G h 5 2 x t I g S 8 9 I Y O s a n l u W B B U T v U B R c w 5 K S U m l y R m 2 g W w z w p U B q I I 3 W s I T 0 x v y J q l x O I m q c 9 3 U z 5 x I c S N w S x C a F W x d Z 6 h 4 V Q F V r a 5 k L q 0 t G A z x t t Z 2 q l 6 j E R D Q 3 c V E U 1 j g w / 0 6 W t t E L Y P d V F J W L s 9 N T 0 / R z P S M q H R 5 + f n y H N D V 0 c 4 S o p Q G W J X L Z X u j a S C a q v g 8 F T r b W q l Y P w Y A w s A x M r O z h V C A Q J t t i u 2 7 K 1 e u 0 Y a N 6 + n Z k z r 6 6 J M P 9 F c 0 9 L J d U c C 2 T S j A z j L a Z Y N 9 f Z T O 0 g S / u W k o T q 6 j m U j M U q x l K F p s q F X M G B M t V D 4 Q 4 N n 6 h I D 2 M Y 4 H m C X j C B N M Z l a 2 / i g 4 4 B 2 E C q 5 w l h k s 1 B Q b L x 1 / f d i w z b g C b Z u 3 H A s e t l e c 1 M s q V H 5 R C X 3 3 a J Z K W b K s w e L x d Q 1 X S q X H z d H G w l m 6 2 p p C C b y Y M 2 w U Y 1 3 0 N R I c r H T x c w u s S 8 f S z o I R y s p M k e c f P 3 5 K m z Z t k P v 3 7 t 6 n H T u 3 y 3 2 F C T b 2 F / g 8 U 3 W V r 5 d V u A L d n l L q H R Y S k s q I w Y F B t s c S K S E x i T r b 2 7 B T y D H h p K y 0 B L a p i m l 4 c I i y c r L F g Q H X v A L U r y j m y O C 8 k F B q g w 3 w J s 9 l Q g X H P n 3 q D J W W l b J d l 0 + Z L J X U e z q Z + I t X + R M Q G I W V k w G e x Y 1 F 8 0 L A R o N + k s 8 p W T 8 n 8 2 u A 2 8 0 E z u q p G X W 9 0 a x l e C i J l y 3 O 5 C A a 7 O + n J 4 5 i O q a H O q x g p b b 1 9 f a w K u p v H 0 G 9 x P r W s M 2 W G r 9 A H c y Y F H M D 5 p l n 3 W f p 5 J i J E q 0 n E g J Z l g R l Z + k E Q F z j y n S M 2 e h x u 3 a x j V w s H K J K T / D Q r r I 5 i T c 1 D s a w L T Z P f e P R d L / V T V v L o q g w z Z c 9 Y e F A K O o + D O X m p h Z a X V 1 F + f n + r u b 7 9 x 7 S t u 1 b h H P n 6 n Y G C C l O V 9 O M 3 B r q E 2 w l P A f 3 N o g N 6 h R e 7 x i N o u y k B U q 0 a 7 + 9 j V U 2 W 1 Q 0 l Z Z 7 N 4 I C V B t I q V F W b T p a O + Q v J G d S c h K l p q Q s f p 8 C v u / + / Y f 8 u R F a t 2 E t F b J U P X / + E h U X F 1 E R E 1 k K q 6 T A 1 O S E f D Y 2 L o k 1 B M 0 7 B s n Z x 0 y t q L h Y 3 m N E Z 3 s 7 F Z f 6 u q O h b q W m p + u P f N E + H M U 2 L F E e E 5 Y R l 5 / y 9 b Z n 0 m E L g h o a H G C b U H P o m B H I 9 h q a t F F 2 s n Y d g 8 W / r j T a a X b e R o d X u 0 Q j O g + p x d j N + + V 2 m z f M Y M S y I y h s B e X i d j j G 2 T h P o o l p F 1 1 8 o S 2 C k a C u N t l F 4 l j B 5 p 6 h A 2 u i R S p Z 4 e K F S 3 T 0 2 B H 9 k T W w E V t a 2 q i y 0 n 9 T K 4 D o L 1 6 4 Q i c / O C Y b H f b S y O A g F e r G P j x R U J G G W C q B C O A p N M L J q m F c f A L N u O a p a y y O 1 S d N 5 V O E O O d y U q z d l 3 H A m 5 e e k U l 3 b t + l K i Z 0 S C I r D D D n h z 2 H m B m A Y 3 7 5 5 W 8 o m T f Y 8 R N H R D J 1 s e S a d I x S 9 d p 1 i x I A 7 w O M h A k H C r y Z 6 r w A M J s E P f A M 4 L U + t h 1 T 0 t P 4 d 2 p S 3 g g c t n N U s 2 E V b r N t N T 0 1 T X u q Y 3 i t 9 C d 1 Q P o j I G 0 F 2 K q Q z M 9 f N D G T i q G D B / c F d O d P j o + L b T X F x A U 7 t q j Y 6 4 i Z Y h p O 0 j 9 2 o y W W z Y k o t p / n q J Y l m B W s z + Y t B p Z S 6 b Q g J g Q k k x P j R d K Y d e y D V S 4 q Z r 3 c i M I 0 z d V d E t c R k J i A Y g u O a w Y 2 D u y k Y L h 6 + T p t 3 b Z Z 3 p u V k y O b S h E T H B O F v H g T z B h K y s q E m H o 6 4 T X 0 A k 4 L Y G x s i i q y t d + y w D x Q b V o Q E 1 Q r I 5 L Z r g R m Z 5 1 M V P f k v h U 8 r H 4 p Y o I 6 C F f + 5 z / + C X 3 M 9 p T a f K t Y Q g 2 N j v t s X H y 3 + n 4 F S C r A + P w w S w + F y Q k c w y Z h A E V M L Q 0 N c j 1 g h w H 4 q J G Y B t m e n Z 1 0 0 N 7 q W D 9 i A v p 7 N P e 4 G X A Q I Q a Y w Y z k w 4 9 O 0 P H j R 5 i 4 Z + n i x c u i V Z g B Y g L g O T U S E 6 C I C d h X M S d 7 J z f Z / x g K y 4 6 g s F w m V V k w x v q u F d b m + 3 q Y k A n B 1 h e r Q q 3 6 M 9 b o 7 / d u h k C o q 3 t B e / b u 0 h / 5 A 5 v F w 1 y 0 7 t l z u n X z N i + m m x y s 8 i B m A i j b y e h h g x o H Q o P d g H g K g p 5 A S o K N h v q 1 j A k 4 K Y y A q t g F W 0 t H P 9 s O c F h A g n / 0 0 U n 9 W Q 0 4 J 9 h Y v V 1 d i 8 c G 4 A 3 L 5 / M x 2 y / A 3 r 2 7 x V Y N B k h F B K d b m h r l M Y g E D h U A 3 6 m I 3 A h 8 H 4 g M T g 2 4 8 4 3 o Z k n 1 v G e B D m 9 I 8 I t N I d w w P D Q o n 7 d C F F / D 0 d H R x b g U k J a W S o c P H 5 R r E g h Q R 9 X a L B X L U u W D P u v x 2 P g 2 T 3 H 2 W H L N u c k 5 M 6 q 9 w Y R e R z Q 9 6 d G M 4 J r c e S p K d 9 H 1 6 z c p P y / P x y N n x o v n 9 V S z d o 3 + y B p Q 5 9 r a O n g z D A m H n 2 U V Z / 3 G D c y B k 3 i D R t H t W / d o 7 7 5 d s m n A 8 W / w 9 + 4 / s E / / N N z b X j c 5 7 J B 0 J i x I X K O r d 2 z a J l k b i v H X 1 T 2 n d L Z B J t m O K y k t F p V N Y W Z m W q Q d H B A 9 v X 1 i + 6 S k + K q Q c I Z A 7 Y w U T U 3 N V F V l 7 U Z X T g 8 z 8 P u Q 4 Z G d m + f n M O j t 6 x c P Z G N D E 5 V X l l E x S y 5 c P 5 s 9 h a 4 3 R 1 O s Z 5 q O r P d X 0 S D 1 s g L Y T A q D T B S x M b F 8 n d I W 7 U m F M 6 f P 0 Q c f n t A f a Q D B I y i e m x 8 8 d 5 H f R u O z 2 n o E s s + X n Y Q C 9 S M X D + k 2 R i C B t X 3 Y N 1 g I p L E q 6 H T O U m H i G P U 1 3 a b O j k 5 K 4 E 1 o J C b 3 g p u e / c U m / Z G G 7 J x s G h m x J l I F b P 4 p 5 s R 7 9 + 2 m A 6 y j n / j g O O X n 5 8 o C A Q U l l b L h 4 Y A A U U 1 P z 1 J n Z 5 d s a n B k t / 4 + A I F R S B o Q F t y 9 i P H U d s Z Q e q K X m J 4 + r R P H B 5 w L 5 R V l w o W H 2 f A G M U P F c b G d 5 Z i Y k u 8 v L M g n O 5 9 f m 5 7 e p K C S a c 2 A i x 5 o a q h f P H 8 F J P S W l 5 d R H x P B q V N n 5 P U 5 f g 7 O F a h Q R m L C u S i A W W C T m o k J a H j R I O r k 0 W O H m e C K 5 b q A 0 M c G O u h E z Z w P M T X X v 9 D v U U h i A h A G A D E B c I C A 8 Y 2 P O 4 T w d + z a 7 n O O A G y o U M Q E w J U O m w 6 I C 2 A u L F + 3 O c O 2 4 J V Q I 4 4 x i u V 1 e 9 g F d 6 e + A 3 W c r J m l s 2 c u s H T Y I 3 Z X S 0 s r l Z W V + i 0 0 N s r I 8 C h v 3 G f i A o d h + 5 z V u i 1 b N / k 5 C x Q u n L 9 I x 4 4 f 1 R / 5 A m 5 X E L Q R F 8 5 f o s 2 b N 0 q M K y c n a 9 H r h e 8 2 2 h / A 8 + Y h y o h 3 U i p v z N O n z o p t Y 5 R I Q E N D o 9 h x l a s r R e q C y K 9 c v i a v J S T E 0 6 7 d O + W + E b 3 d X Z S W n s E b z U V T l E W F 6 R 6 J Y U 2 z h I B b v 5 9 V z T x 9 g y G t B x I G e P j g E a 1 b X y O E n J S Y R M 1 8 H T d s W O f n G k c 2 C D b + 8 + c v a H J q V p h D S k o i 7 d n j V Y 8 v X b p K R 4 4 c l P y 9 x L g F c W D g B r t n e H h E 7 m d l Z V F i Y g L b S t 2 U Z x E T s 7 p m o 6 N 8 P V N T f K S 8 g n K t P 3 n y j D Z u X K 8 / G z 6 U V I I d N c 5 r e 8 v C 0 x f 9 b / 7 t v / 9 L / f 6 y A y t 9 r P 5 F k 5 t 3 5 7 k 6 D 7 W N R P v l 8 k E 9 h D F f W V V B d + 7 c Y 1 3 f Q S + Y O 5 Y x x 4 2 N 9 d 0 I W J x r V 2 / o H q 5 Y y U D A 4 n j 4 + A i C V v E x j I C 7 f M v W z Z Y c G L D K S 4 N k g e c L m / 1 / / O L v R b f P Z p V k n B l C T H S M x J E U c j I T a Z 6 / 2 8 U b H 5 u h p M T f U T L P U m L D p o 2 S 9 o R N h N 8 A Z o E b X N 5 A a 3 O z T 3 I u U q G Q n Y 2 E U p R 8 j D G B Q N 1 M S d G c B X A a Q F r i X O C + d / C 5 I Y B e w F I P x A P m A q k L a V l b + 1 i e H x + f W A w F P H 7 0 m K L 5 2 q 5 m F T E r p 4 h q q v l a 8 / U 8 w 0 w B w e + o m G h W x Y a p o r K c V T P 5 i A R v I T 2 h q i I Y X M i E j R S u b 7 4 + R d t 3 7 v A j H K i M s 6 x 5 n D t z k Z q b W 1 j a F c r v f 3 D / o f z 2 Q M B x a h 8 + 8 l F f w d S M Q d 1 A a B 7 S T r Y y x y 0 S S j 0 2 Y s V I q K 8 e e M s S 1 u a 5 q X 4 g m r b q t U Z G I F D 5 j F U n b O L c v F z e B L 5 6 + k O + 2 O v X r x O C M u L q l e t C C L O 8 g Z k 1 S v b B q q J C K i 6 x L p V Q A B e 9 0 R p H + y u s g 5 J 4 / d t v v q N P P / u Y p e P w Y h 6 f w k W W a E e P W 7 v v r T h 0 O I C z I x w V J x y A 0 H t 6 e p k o x 6 i g q I D u 3 3 1 I u / f s E H U T J S a A k z W s O I P A G B l C i M A 3 n x B e Q O W 4 Q B Z + U U m J Z I 9 A D f z 1 l / 9 I 1 T W r W a L n U C 8 T 3 B R L v K 3 b t 7 G 2 o R 0 f 3 w / G 5 G I m k B E g x m U E N I + u r h 6 x 3 z 7 6 + C T b b t M 0 x L Z W c Y g S D q O E Q j I v A s R m r C i C S m b V A W l H 0 S w w j q + x T l M x o r m p l S W X f w z p 2 d P n s l j g q k 8 e P x N p s v / A X u H O s B 2 m m W v j l p u b K 8 4 H I 2 C v x c U Z u N 3 8 D I t J a 7 s F g H 7 f 0 d H l F 8 t i c 4 j 6 u 9 v p R X 0 T n W T b z A i o Z E l J K b w B k 2 k c K k 5 G 8 E 0 E K Y P N D e 8 h C D Y c b q z Q i / Q p i w w K I 0 D Y 1 6 / d p D W 8 6 Z E V o i Q V 8 g U T W T V E w i 6 8 i v N M f M W G Z F v U Y c X p N h 2 k Y F q a 9 3 e o u B a I P y c v 3 4 d x Q G U t M N R 8 w a 7 7 + G P f 1 C k z r L I 2 c N 6 X L l 4 R O w 6 A m g m V 2 f w + B R A U l n t 3 m S t g a t u K I a i z T 6 a l 4 j Y S Q P S v Z x s A F 1 G h r a 2 d 9 f h 0 U a E A l F f A w 1 V d X c U 2 R K 2 o I f v 2 7 2 U V Z 5 z q X 9 S z e l H G 6 l I q 6 + 4 O e v b s O W 3 b t o X u 3 r k v s Q 8 E F E M B E h M q K F K Y 4 L J 9 4 S i k / Z X 8 3 L O n V F p W T q O O c S Z a m 3 i P s N B p G Z k W t l / g A K c C n C e w H 4 G 9 / / 9 h m p y b p C c / v y + P g 0 E l 8 Z r B e 5 F a h 7 X q Z n j O T p w 8 J p v + E a u A + L t 2 X Y 3 m 2 W y J p Y r 4 N h 8 X P Q B G A j U P r m 1 F L O b g c G 9 X p 6 R a m X + f s o U A O G P w G I y t p b m V 1 t R U L 8 b Q F K T g k Y 9 p T i I G Y H P B K 4 v j Y d 1 Q J Q D N B c 8 B U A d T e C 9 c b Y 4 L q 1 Z r x a l 8 S B X a U O h f A m A G P F Z w j W / f s Z U N / n O s 8 0 d T Y k I i F b E a V 1 5 R u r j 5 b t + 6 K 3 a S l I Q b v F m n v 4 P 7 9 b g s v D e V a I E J s p N K S 4 t F p U D q j h G o L q 7 k D Q h J C r S y U Y 9 k W K i S 2 F N I f 5 q a G B O X b w J / P z a W c H b Z Y F F 8 P G v 1 E o V 1 x p i L g j E 5 V G U D R A o E l s 3 F k Y B x U 4 P L H z l 6 S O 4 D 7 n k 3 X e T n d u 7 c S m k G F c z B 1 x A O G E U c P U w w W a z 6 G S U m 8 h F x d Z R T A a o g b D w V 0 1 J A L A 2 O F d h 5 s N 9 A U F g z r C s 0 i y z 9 n K 0 k k x l 9 f V p c D + s L R 0 s B 2 4 a J u r q K 9 K o o e w r V D m o q K u r n k M g b C F 6 y X y H o C a N M W S p p e d W w C W C A 7 9 i 1 j U V 5 F C X z g k C q x M b a Z T P D 2 z Q G g 5 X t L C M x Q Q f f t 3 8 P b w y N Y y k V h 0 l c V E V s N h C L G Z u L 5 o W Y Q D h 3 2 m L p 8 U i R h A B m Z r R M A a g T K P E Q q 5 y B 4 y M X r Y T V p L p n m u v 4 Q X s M P e j g G / 9 V s A p G 9 v b 0 L x I T C A 6 e N v y m c I F y k Y 5 B b y b F 7 W a P B I w V z p + D M 6 C V L l + 6 6 p c U H B 0 T T T t 3 b 5 c g t g I 2 J q Q r K o o R f 4 J 0 K m T p A 2 L C c Z G T N / j 1 3 w q B g J j A p A D Y V U a J r M 4 h g 3 + b q m K G 4 w j e T x B T N 0 v U Z r a N F E C g V m X / R m B t 1 f r 2 9 f T J e u J 8 c c 0 g W R U x A R A / y O 0 L h G U t o e Z d M y x V E m j a O U e n H / u q e + Y 0 J C N O f 3 e e u V a U x F a g C k F F Q A Y 2 i v m A U 9 + e o e I D n Z Q y + o E s F l J Z I B 3 6 + w b Y v n p G S W y 7 7 L Z w R w P Q w 7 t Z O q W k J l P T Z L G U 0 M N t P + + x E Q t B u t x o X / R E K m m K j e 4 Y G 5 W F n 5 q Y l O I 9 l T 3 R w z Z M I d s w k 3 y e V 1 t S F z k 3 8 M E 6 F 3 V 3 d k p i K m I 1 l W t q 5 H k E M y d t e T Q w a a M d p b 5 p S Y g 3 w Z 6 C Z L D C y J S N n j c P 0 P 5 N 2 u v I v O 5 2 R E s m v 8 K z 1 g n K i J s Q T 1 w g Q K W b 5 8 2 M m J + 5 k B J Q n k U r 4 L N G N R y P I W 3 h B U X C c K E p L W x o e J h t r Q G 2 h y v 4 + s T I 9 V Q e X N x H / A l 2 X C i A U U K i G U M k z Y M x 1 D z k v e b B y n q A Z U 1 Q g 3 3 e c u s 7 P b 6 G e T C C A p A F v m n z R t m g K A R U 6 J + I p h u 1 b Z Q 8 3 S B q F A K 2 4 J b g V r C n 8 g v y q a 2 1 T V y + V g B B N d Q 3 U b + L p U N K m T w H Q Y a u T A A M W 9 v 8 B H m i k + l D J g g F x G 7 U o m M T Y O O o I O z N h n m a m N d U E A X p 3 L T G q 9 r i M / B U N T Y 0 U z c L h p J 1 B 2 l 3 e W j V F 7 E o S G S F 5 k F W f e 0 L V G D K s l f A t U C 8 C l 4 8 p R Z b A a p T a U m x q F u R Z G d Y Z Y + b n R A K O J d W X o s J P v 7 O H b 5 S E j A S M u 6 D W K x 6 a k C j w G u 3 b t 2 h Q 4 c O 6 M + y / W Q R a 4 q J W h D m a A W E S V a c y h c u Y I y C i x m J C U C x W 1 J 2 F S 2 U f M I E t 4 E c D o d c b C w M K n I X b B 6 K c c f z 5 h 3 m 5 3 0 j 7 g D s o c 1 b N p I n z m t 3 8 F 6 n + v 5 o 4 f Y A M p i L 0 r U N i 8 y I 4 c F B H w 4 K V Q / E N N T f T 2 0 t L X 7 E B M l k J C Y A s R i E A j I q D 1 B C 0 S 6 q v f 6 1 E F k g w D Y D Z k 3 q E G I s M U 7 f X E G F v / 3 v f 8 d a w Z x I H W V j B E J l R b l k m n R 0 d F J 3 T 6 / E j Y x A a w A r o D 0 A i i + N M D o 0 6 u s b x f l Q + + C R 1 I 3 V 1 K y x J C Y A t p Q C 1 s + K m I C v v / q O v n 3 k k T Y G R l g F b h G G i b f I d 4 T 2 A a f F O 0 t Q 8 E I N D g 6 J x A B X V h j R s 7 u B Q V c O v X h R T x c G L 9 K p e 5 c p L z + X N v 3 t D v p n 8 T 8 X 9 R B e P 7 V p n U 6 X e I m g x 6 N D T p T d 1 w H Q P h J D F x o 0 b p m Y m C L 9 / / D d c W l F k k i K 2 h 1 4 s w B 1 T O S g l V X 4 B p P 1 A m E / J M J 2 W 4 i i V e l u V m H j q X z b D + i 7 8 3 e E + y o Y C U x J v y i L Y r + c 3 F y / B F z g R 1 / 8 g B L 4 e 2 C v K P s x G O A x Q z C 6 u n o 1 Z W a k 0 1 e / + 1 Z / R X M W A J D 8 A I o B Y R 9 B Y 0 D T G q h 5 q L + C p D Z + 1 y g T K Y L j W 7 Z t p l U B n D Q K c H 4 g Q G 0 G V M C p S Y 2 g c U 0 K C n L p R z v j K c 3 g t F E x J z P Q h / E Q 2 1 C K I a o z m 9 O Z 5 b I l q G i b L 5 f A D w O X A K b G r T O G k Z a k P h W f X k Q P B r S U G m P E + 9 P t y b R X D 8 K i T 1 x x z V 6 K f W G n n 5 3 4 X P L N n v 7 8 P l 0 s / k 5 U G a h 9 k F Q d 7 R 3 i v N i 5 a z t v o l w a c 2 i b J B w g O H j v w W N q Y A k z P K z l D t r 4 X 8 P z Z 2 K g G w k C s B C K i x h k m w m Z D 5 B g 1 f l u + v j E b v r q q 2 8 k o w N q K q p y h 3 W G g c x 3 A A m s Z k A q T + k S x E i E K E 7 s Z 6 m w F M D Q R + r U G B 8 b U B I u W c / O Q G W t s f s Q b K i k 5 B S / m B k C 6 y h L C R c o 2 D T n 7 i H 3 M C l Z I x 4 Q 6 9 S k r 5 S + E K T L U W a S d j 3 W F 2 i l H L 6 7 k I + 3 X G 0 o l B m g + E 0 h P c 0 b P I U d g 5 Q Y b M y 0 9 D R a s 2 Y 1 3 W n x 0 P h c Y J 0 f 7 l A 0 a W k 9 / T + o / M N / 5 s O h J s d H q C a 5 g 1 a v r q J v v z 1 N h w 4 f E A m F l l + I 0 B s B l d H Y c i x c o G j y c J V T C L S 9 r Y N c z J l 3 7 t k p G w s e Q W S d G 5 H B C 7 v T 0 P y k h 1 X H Q l Y b 6 + s b J K M g M 9 P a 4 H 9 Y + 4 g q y s s 0 b q x z f g S j a 2 u f y H e N O 8 b F g 3 n 3 z j 3 d t n D T 0 H Q M l e X G U 0 F h P q X y 7 w V h L R V 3 2 E 6 Z Z W l e U l Z M 8 Q Z H B e J + x m J E B d h J S P 1 y M w N A W p H R x g k F t D 2 b Y e m P k n w c x 5 w H C W 8 v 2 h j E 5 m 4 i x 3 y 6 Z N b c 7 / B X 8 w B U i R 8 x V A w j B t c 4 4 L / O y 5 a g F u Z n Z P M p G A n K D J R X o C z g f o / v 5 g f Q g 6 K B C Q C M G O Y U 2 i 8 D o 1 M 2 u t v h y 6 l K o n i z Z q d I 8 B I q I 9 Q W Y 2 y o q b G J 6 n v d F J v j q 4 s D y l Q L d r W N j h S c D / L Y 9 u 7 f L T G V r x 6 4 m V t 7 f 2 N a z D h F O + r E B l y 7 b i 2 N j I 7 Q i 7 p 6 2 r B p v W y c M 9 + d o 9 / 7 / S / 0 d 3 s x M j o q N p D a v J B A C M z C 9 Z 2 V l S m / S c V t c A 6 P W K q j Q h U b E i 5 y c + l D p E C a T 3 y C v / 0 F 6 d / Y 2 C z F m A n 8 O 5 G A i 9 A D H E e 4 Z D h n c z w J B A + X u p K i C B + g R R r U P D h b 0 J P D D L w X N 2 g V U N N e T J T 4 X N d A y E r 0 k N N t k 0 w c l Z F j h e U r o Z h j d H V b S y g z O l h 1 e 9 F n L T W w 0 Y 1 X A C K 9 M N V N h W y L A E Z J B R t n R 1 6 f Z E S P j T k k z w 5 R d X B Q 1 G a t 3 7 B e 7 A b j Z 6 R x T J 6 v 6 x r 9 C J C J b k R i D L + n 7 6 o s t t h 3 r F p N T k 1 L j V B 2 d p Y k u t 7 q 8 u b 5 e e a m 6 K P N G j e 9 e O G y q D X 5 B X m 0 g c 8 B u M f c H I F l q F r p e i x J A X V Z 1 T X V I i E 6 e C N 3 d X S J f Y i E U X j u / v D U H 9 P / 9 / F / k / e C k G B r o l N T t i n P M B I Y C T U Y Q C S D g 4 M i Z Y 3 x J y v g N 0 N l U + / T J O q 8 X 6 a E A q 7 l g w e P J H M C t W 7 Z O X m L d m 0 o Y J + k M 1 G N 6 I 1 P A 2 F F q n x G B D I u F Z D m 8 7 g 7 h i Z m f S 8 U C G p D g U Y I u E L o 2 6 f E / t k z 5 + n A w f 0 i C W B n o c 8 5 1 M I D 6 1 K k M S I 0 q f K s e a r K C W L w B A H K M U C o k C Z I 9 l Q b 5 G 6 7 n U Y N q l + o 0 A C A s h X 0 s z A C D P 1 h 6 y y N t t w S l 3 Z y a g o d P X p I 8 v H g 2 U T + H V K w c n K y y c Y 7 C Y Q X a J O G A 6 v U K A R c k Q 8 J B 0 Q 4 K V p W U B 2 Z 0 K 0 2 h 6 8 X 3 P 8 q O 0 Q a l P L v P F C l q W k O t g l r 2 V Y 9 c H C v O D 5 w D a R V W J g o S P V Q W f Y 8 3 Q z R n i 4 4 u S 1 z n D U Q k 0 r 3 M Q M x F + X M M A I N L y F J I N p B T G g T 7 G K R f + 9 + L R 0 + c o j + V c f P Z E G a d D 0 6 J S 2 T c l O 0 v h a I O S 2 V m I C 6 5 / X U 1 9 t P t 2 / e F a 6 O o C 4 k l 5 G Y g H C a M K I U Z c D k S A D B V 6 P T L v 9 L T k 2 W T A p k b K N Q E p k j S M m C d w 6 1 S L C X X o a Y A D M x A X C 4 w C E B g o 0 U y n O H B j W Q S o W r V k m l M g B i u t u 6 Q N M u G 2 s b m k N n m N X 3 0 b E J X r c D Q k y o l 8 O a R g L E n 1 J 4 D 5 U Z A t x W W J Y E h a B m O D C + K 6 D O y 7 f R A G I c a p k i x O e 6 y j i S u J s 3 W C w d z P w Z F b E U U / I 9 y e 5 h I z W A T 5 u B G M U X / + 7 X 9 N m / / l J / J j C Q w Y E Y S m F R A X 1 3 6 o x w c t g U Z j z v D c 3 Z o Q 7 B 4 D / 1 7 W l x R S t c Y n V 1 / / 6 9 U o C I b r d w s q B E 5 c b 1 W 5 J x g N 9 o z F Z Y K r D h I U k Q s I U L H D C m A m G D S 2 o U S x C 4 0 J G 5 o m A 8 X 2 C g t 1 c C t K o t N T i D U v c Q Y m h o H R A N Y X R W c z 5 g 7 a C h 3 G d b u G G q Q r r t A n W 9 X m 9 v u E A R J B C s s Q / w R l Q + / I x X / S X h q H y h 1 L 1 w s L v c R b d b f T n 0 d t R Z J X s k r Q h l 9 1 0 s z Q D j 3 C k z + h x R l J / m k e s Q i C d j J d A L b l / Z J O 8 V 7 V 1 q w 3 z 9 u 2 8 p o e a n c t 8 I S E T Y c G i B h S O b e 0 g Y g f q f j M w M 8 Q C i D A W G O 9 J s 2 t l A h z c U t h Y 2 8 d P H T 2 n 9 p g 2 S D b F U I K a U k 5 f v Z w e Z + + B N T k 6 I V F R Q W R W w h X A M 1 Y U I R A k C V 9 f F 3 B E X A e o r 7 d a e T Q A f Q x c s B G V R K X C 5 z i U x w H A h L n J e n 1 B q 4 h u R U E Z i W o K E X x I i F e k K m w q 1 + A J u S F Y 1 E x O A r q I A p J 5 R X U S i a y C A m I B g P x / X 5 k D F t G x C p N N g A 4 G D 4 / b D H / 9 A f 5 c v h k d G x c P n 4 d X G 5 0 5 9 c 1 p 6 B V o B z T g h M Z B B P 8 H S I M 4 e R 7 1 9 f e L x + 8 d f / 0 7 e g + / d I K U k / v G p S I D 0 I T M x A e a m k i A m O B e U 9 F L 2 1 D S f B 4 g J G e m Y v A G 1 E 0 S k A G I C 0 S k s M M V g z d A f H S j N 8 F X N J k f 7 h F n 9 6 t Q 9 q d n 6 w Z 7 w W j Q D 2 B P A Q B g q 9 r J 1 S m B j D h h y + Y w S K p B k y k t B / 3 K N A g p S 3 d I h 1 j 3 6 j D 7 a V y U j S 2 A j K e y v c N K t t j j J D L c C d G m 0 L h s z 9 a 9 A p g L s L Z 2 R W m J 6 e o Y 3 t p v u 3 X t I O 3 Z s F X c x s q / H e Z P D T e w Y G 6 d W J o p j x 7 X C N y O M y b X A 4 c p J K W E x A t w c e W n b t m 3 l D e t 1 H a M v H d Q 8 S D T k / S F e B 8 m U m 5 N D 3 3 x 1 S o g N z W k g s V D e f v D Q f i H m 1 w m s F Q g B A I G A U H A t Q I w g M q Q M K a l k N d T A D G x m / r g w Q 6 j g r c O + a j E I T s X v H j B j x C i d Q I A T C p M q V f f g c G K M y 5 a g g G D J s U A 0 r 8 O x G m d A q a A 6 9 2 D T q b a 7 L w s s A g h z U 9 G 8 e A 8 B D G u D h L r W p E m 7 H O d d 2 r R x v W x W b G J s H j S D Q U q N C j 6 i x g e D C E L l z A U D c t 6 Q z Q G H B l z f + B 6 4 4 K 2 A 1 s v w 9 B m l S t 2 z O l q 3 f p 3 + K D i g K u K z 2 P z G x F 5 F D O E A l c i 2 n B j K j d Y y 3 c f H H J T K B I 8 U J G R N m M f r Q M 2 b 4 h v a q h n V P z A c M B 4 r 5 C a 7 q S D J Q X m Z S U F H 1 R S m e m h 9 0 Z z P 3 g n H h A g t w 5 Y p w P W O B y E m A B t W 5 c 8 h P 2 s p g D R K N X Q 2 U l J O E R M A r m Z 0 I G z R s 9 w B t Y H x 1 x j J R 9 k I v G 0 g h q U C v + 3 6 1 R u s 4 t 0 R F 3 g g Y g L y c v 3 j P m h k g 6 Y 1 q E Q G 2 j u 6 a G R k m I n d I Y w A 9 U 6 w e X C O S j 3 F M f A a C C k S Y g L Q a U k R E 8 p Z U C Y D o E o a U E P p A M S U 4 p n Z w B N p J C Y g E D E B 6 P A E Y g L M M a X V z P h 2 l M z R O l 7 T d a z m G c 8 + U O t l M 1 Y M Q S m 7 B 7 e Y 3 j P 6 s 8 G B 4 C y 6 j A K B U k 5 C A d 4 / p P k H Q 3 a y h 5 w G h x U y E 8 x A g N U M S K l I N 6 U R s K X 2 H 9 x H e / b u D n o c E E R m l j c 7 / s 7 d + 3 T u 7 E V R S f f u 2 7 M Y 0 E U t W G Z m F h N 7 m h A O q n H h Q D A f 2 0 y Y 4 Q A J q 0 a g G l e N R 1 X z f k F E K i 9 P S U D 0 7 4 B 0 V K + F Y k A g o o v 1 d p E 2 U V H a e 2 E H Y 8 I K g v B t w 9 E S j o A 9 i 5 g T e i P C E R G O / Q S s G I I y A i U G o Y A L 3 9 w 9 z n q h x q 3 U 6 M / X A e j p k y 7 v 8 e F A U E C y K P I O 0 a P O j N K y 0 P 3 V A w G b b M + + 3 f q j w M D 0 Q W R 8 G H P / N m 5 Y R y d O H q V D Y k N F S R Y F A r 2 f f P K h / o 7 g U N 2 O g g E S S A E u d R R V Y k 3 g F l d A g N k I t D 8 z 2 3 S q w h d J t G o 6 C I L 1 g Y C s m T m 9 n g l j Y G O Z q G x s e V 1 j 4 u l j 9 a 8 q d 1 7 s M D D Y C a e N C U k L A o e L Z U t Q a q S N F e I S Q u u 6 u P C T g 2 2 U Y N c 4 H i T b V N t l u R 8 O l u q t d D X / j k 4 c P 8 r c 1 C N N L z H 4 b M u W T Z Y x H 3 B f Y 1 z G C u i d b g X 8 P l c Y W d m P a p / Q l m 1 b f N R N N I I E R o a H R a U D + p n w I g G y 2 I 1 e O D M g g V A 4 C C K C R x A l L D h n V R A o K U T 6 f Q D u d p w L H C 5 G T D B D g k T E Z 1 W 1 b p J 9 Q Z w S o Y A 1 T I n 3 S C E m 9 t P T n l i 6 1 W o X B r h U B r s s C Q o X g q + f J b p 7 e s R T B Y 9 Z K K C n x K 2 b d + Q + Z i i t y o 5 d V B u R e W 7 1 H W r K B 5 J o t 1 n M g w 2 F x M R 4 u n H z t i R + o h r 4 N n + / K q l Q m N f t M M x p c r M 9 g q r U Q N j 4 t 9 b F d c i w C O Q + V 8 C m X b t 2 j V 9 m + q Z N G + l 3 v / 2 G 1 c A s U e l w b e b Q 1 y w C o A 2 z y t 2 D V x G S B y X m 2 m O P 2 G G o w g U h A O a K X v V Z R U R o / I L + F m A 8 I D 4 4 k w B j 4 x n j M Y 5 W h 2 Y m c M e p 6 t t I h 5 0 H w r I k q E C Z E t D 7 0 f 1 0 / b q 1 Y Z c Y b G X u D L U L + v d O Q 7 M R l H O g t 5 9 Z E s F g V c h O 0 o j L 3 f K V J M B i 3 q 8 R y F A 2 P v e k 9 m 9 E d T p 8 + A A 1 N j V J X c 8 X P / 2 R B F Q v X 7 4 m N h 2 A b r c K + B 1 N j c 3 6 I 3 8 8 + 6 O H + j 1 / o K 4 J O W x m o F r 5 w r l L 1 F D f K M z H j I H B Q f r 8 h 5 8 u j t L B + S X o / T a W A m T E Q 9 p A C i p v I O y w U P Y O A C J x 8 H k k 6 e s J A k T l r W q M o + w s B R w f w C B v p A u F A h S + J 9 1 L s 5 + t s C z d 5 m r k i j F T w j 2 v N U d B c m e k Q K 9 z D J U 2 V m y a 8 a w 3 h r r H o l l y u f w W C g O q P / 3 s I / 1 R Y F w 8 f 1 m 6 m 2 J m E W p x E F x F G 2 M F e L O Q E G s e z Y l c P J R W m O 2 H U I C 6 i A 0 G t 7 I R n V 1 d t E o f J W M G N j l q h N B / H U C 2 A g r / I F X + 3 / / 6 C / r Z P / k 9 m p v n Y z K R v S w g I U N l o K P R J f q k I 1 1 J F S O G A 8 f E L N 3 u e v l z j B T L U k K N z I 6 y Q e k r D Z C L t h R i A l A v F Y y Y g P U F 8 y K N r L h e q I 2 u c v w 2 b 9 0 o s S Z k I z x l O 8 V I T A B a k O X n 5 Y q 0 U k D N 1 6 x z j v 7 + X K t 4 p g I F m q 3 w 3 a m z T D R R Q s S 4 Q R K D m A r y t U 6 s 9 z s e 0 p / 8 8 / + o v 1 v D d 9 + e p b T k B E k J G h r s F x s N 6 h W k y j / 5 g 5 + y X T V C c b F 2 y f s L R 8 I E A 4 g 0 E F Q C L F p G I 8 c P x A Q 1 U U k g 9 R e a x Y R j b P H 9 K g z i i U 5 g D W L p C c p L x b K T U F D 3 J o f Q x M N G 4 8 7 w C g x D 4 c K F y 3 R M b 8 e 7 F D x h j r 5 R H 1 5 t B b h q k f k M W w J d a O M T 4 q g k x I R E F D H y 7 q B B 3 s C o a 2 r 3 a B I D A G G H A 0 g o E B L 6 D Q I g i m D E j w w J S D N U I S M h F 0 F l 1 c 0 V X r m 7 d x 7 S 0 R N H p I c h g C k l 5 e X l w g h C 4 T I T Y H y c X V Q 1 O G G A Q F 1 p A R A M 7 C X 0 M Y e 6 B 8 I x n 7 t Z w o G o F h N n G e E E Y l 8 1 3 k q C g i K i T g o 2 D M 4 Q z 6 n Z u m C M 4 G 7 G q X o v Q 1 B w T A S b R B g K T 5 8 8 p Q 0 b g 0 v H 8 / V 2 + S 2 H q l x h e a C M Q D L n j d Y k i r J r G x f l I V Y O E y v A L s N Y G U w h D A R 0 u U U g G R P a U T y p A J U U e X 5 q 0 0 I i y R w n J i D J T u A N j p 6 F u H 4 I A m d k p k v v Q j g g O t o 7 a f O 2 T T J I T c W l 8 P l r 1 2 9 S T n Y 2 9 X T 3 0 L H j R x Y J V w H S C H b T 4 M D A Y v w J h A O C U n a T A j I y f L r O 8 p 6 A 5 M W t b S S G G v q D a w 6 w V Z U D 6 F X h r V T 5 j B Q O Y r J H e 1 j V c g u H 1 9 Q M v s n f V w M Y 7 6 8 b K F Z E 8 i w G w 0 U K J H M e 2 + D d H A g 0 h p v 8 i 8 F j A / 2 B G 6 s 8 e F B L u b n Z s l m N x A T I e B v D d c Z G R Z 1 U R n o G P b h f K z Z h b 0 + f 9 D X H s A O s D Q h z w 8 b 1 9 P m P P m M G a F / 0 t j Y 2 N s m G n 2 N i w 7 C 1 X b t 3 S I N K E J N y f s C j B + J F 1 1 a U s i v g O X N N F o 5 l J C b Y e i B c n A P a s o U i J u B V E x P w 1 q t 8 S j K Z 6 Q e 6 M u a l o m 4 H C + 1 x a y 7 Z p e D s 6 Q t 0 8 k P f q t Z I E I 6 E A p Q K U p k z L z 3 O l w K z G g M H j b h 8 F 9 y 0 v 9 J N S a Z C S n j s W p t b p e b J C t j o c J t j u J k V U K u E 4 C l q k T B w 2 g w 4 C 5 r 4 + D 2 s v q G N N D Z 6 S S m / j 0 8 D k g z Z 5 F g j Z E L c f / B Y H D K L G 5 8 J S W V h Q A p h H W e m p 1 h C p c h 9 I 4 z j U 0 M B D M e 8 X 4 z A o Y O 9 / j J 4 6 5 0 S S s 2 D f r w o n f g G Y x v q C K Z 7 K 5 V i q Q g U H A 0 X C w v h c b o d e p Y z 2 v u + z I K m x X v P V 8 V P J h u + Z b X Q T h 0 j 0 Y t l J L h e i P 0 Y i Q m V r E b H B j o 5 o Z 9 g I K B 7 L q 5 v n k X b Z b i s Q W y Y B v j h R x 9 I 5 j z G h 6 K h C o g J 6 z M 0 0 C d N L d G B C A 1 A 1 V p h 4 D e G M y h A C k G F t B p u D c Q n a i o 9 V E Q z l E M C Q C F n q G v 7 u o g J s N 1 q n H 6 N h 3 8 5 Y J T + 6 l w t 7 t P S 3 E I V l b 5 N H 4 G H 9 x 9 K i 6 m B / n 6 Z 8 2 O V c R A K W K S B w S F p H W z m j O E A M 6 Q 2 b g p v x K S S M J u K 5 i g / N X J C f t E x T o 7 5 F H I 4 v e r O k c o J u n T l H l G R / 2 h S S A w z w 0 m J 8 9 D e i j l 5 D Y C N h l o j Y 9 Y 2 O s t C I k F 9 w v v + 5 u G / p f 8 9 O 4 l s 5 f 9 G H A Z o h g m C F e n F 1 x 4 T O s D c 4 A i B 9 x L 9 8 z A w 7 c 6 t u 7 R z 1 1 Z p H V Z Q U C D X F 9 J o h g k d Q 7 W t A P U t l d V K 1 Z n J C E y b R 5 Y F j g M V E b Y V C D i W V V Y w C + k l w S h K Y w 2 A 3 9 M 9 9 m Z l h u 3 L W + N v J U G p P n k K 9 + 8 9 o O 0 7 t u m P v E B p 9 8 d 6 j p m k x / A i 5 + n G b C T A p k G / 8 2 3 M Z Z U X C 8 C m C U V k k R A U y r B v 6 k W L J Z l u q j F 1 R A o H C A 7 n F q w i e 2 y 0 X C c 4 B p B R 0 T 6 R K T V e 4 W B N 9 g z d v H q J T h z a J E S k J v 9 1 t r V S c V m 5 O C h m M U G Q 7 S h 0 y / W w S n n 0 r / 6 E M v / V B v r T n 2 y m 4 a F B K l p V v O h V Q / t k S J i r l 6 / T s R N H 6 U 8 3 / Z I + + L + z q S g / h 5 p b 2 i m P i W z X r h 3 y X h A B s t h X r 6 m S X o J W g I s c w V 8 z A q 0 H i O t 6 p 1 d t h S f 0 + / D y v V n y j Q D G B E e k 0 G A o s x W M W d J 5 z D U z m V O i f 5 z i v u F i Y G C I 1 Y 1 k c V B g o D L S b T D 8 u Z 4 N 6 N b W d l n I p Q C f Q k B Y Y a j X m w 4 E 9 W w p w A z Z h 3 f v 8 L k 9 l z q n G 9 d u S R w N N V j Y S G g W E w r 1 Q w m U v + E j t p 2 y K T r e 6 4 w A M b W 1 N D N x x C x m J 6 T E x l H G y U z i / y n q v w 1 L N W 1 p e c U i M c G O i o 9 j K R F r p 8 r q K r l W / 1 f t 7 7 E k c l P f w L B c A 0 V M A A j v 8 J G D 1 N L U K k W O C i h 6 h G f x / L l L 9 O j R M 3 r 0 + I n + i h d o W Q 3 0 j k d J f A y d d N E E 1 E h M V r O N 3 x T e S g m V b P f Q v k q v X n z u z H k 6 Y R q L q Q B u b T W k G N F + j O 0 P 1 E F V A d w S A 8 P Q L d W o Y o A g M c 8 V A 9 i w Q R A / g r c t L 8 9 / r D / i U H g / R o c a g e c 6 O v u o r F S z P x R 3 h R u o 2 V n N 9 k n c k l U / B R z z 8 Z O n t H m T N 0 4 F h M u d k f O m y v h R i i L d n V x a e y 4 F D / / 7 e d 3 P K P 8 P v q D / 8 7 c 7 q L R C Y 2 7 D g w M y G A 7 E h y H Y q 4 p L x G a D 2 j 0 2 G y s Z 2 / E D 5 4 W A M F L V D H T I R c k 7 V M S 7 d x 9 Q N U u s K L a N V T d e l O r v 3 u M d G 2 S M R b U O e u j 8 + S t U s t k 6 A x 6 S O 9 h g t N e F t 5 K g R u u + o r x M 7 + Z E S X S g w c 1 o i o i p E 1 Z q A G I w 6 O u N K Y V W Q C I t q n b L S r 1 V o E Z g K s N n P / C m F C F D / D 7 b b L l 5 O T 6 f Q d Y D X M W R A G 5 v E F Z Z 1 j x V 5 7 5 c R N 8 8 Q f B W a y y N m / o M B o M K F I M I M c s K G x c O B z A E T M N A W 2 j M w g X x K n t M Z S 8 o q C p Z r J W s h b 4 e U 3 W / p B 9 9 8 b n l + g A Y a o d y f X T g b W 1 u o 0 8 + + 1 A c F H g / v u 9 X 1 0 Y o P b t Q s s H R x W h k + q 1 V q g R v J U F N j o / S F 7 t D R 9 8 B G N T o d q o 4 l x m D r E a g X z c i + s b R N b d v 3 6 U d O 7 b z 5 w I v E J r 3 2 2 w L o k Y a g Y W + f f s e r V t X w 1 e Q 6 N 6 d e 3 T s u L 9 D I B j Q s V Q 1 / o 8 k U G s G N j 1 6 6 k E a A 1 f Z K J 9 h 4 3 y p q I p 5 Q h W r q / V H 4 a O + P 4 b a L V T Y q f E R O r g h R R K J z U D e I p r K / P 4 f / G T R m T T K T B B u / m 3 b t 0 h f R e P m h C o X z p z b 7 x N v J b k n p w Z X 0 4 y A m h Z s G g O i 8 p W V F Z I m A + 8 U H B c w i J F Z H o y Y A L T Z M h M T A O 6 5 h 1 U R x F d Q 0 3 T k a O R p S 4 k G P R 9 x E z U O J R x A g s B 2 u n b t h k h h q K U K L 0 N M g B U x I Y a E G 7 x z A K p j F S B l I d m s i A l I S s 2 U 8 v G h S d / z u n 7 9 p j C 6 n / 7 e j + n 8 2 Q s i / Q G U 1 S 8 w E 0 M j f i M x n W Q p i n z K t x 1 v r f y c M H U T C g S o B 1 Y l C m b A z m p j n T 0 n O 0 f q k M K J X W F g W D C g H A G u 3 3 C O Z Q Z G 8 x t x M U S P b d h z Z 0 6 f l z Q f l F + A q A 4 c 2 C c 2 o l K n X p d X C + N f c J u d 1 o o d 4 T h Q N U n h Z G y A 6 D p H v T l 3 7 R 2 d t H Z t j a w J M j T Q Z x 0 / A Z I f T C o 6 K p p i b U 7 6 R e O / p L t P 6 + U 1 / M J I 2 h S g b u 3 7 w F t L U O E C m w n Z 4 q E g g 4 1 5 8 c w T C 4 M B / b d D I Z B t E A r Y j I n D l 2 Q T K f Q 6 o i Q m h q n k 6 B S L 0 Z u Q C u g 5 D m c I p s 4 j 5 x D N V j B T V g G x l l d F T E o N B d D q 2 H h + G A s D F R u F f n B G X G 4 J n q F v h L F t d I n M K / Z O N I Q n t b 9 / g O 6 w 6 g y v Y 0 Z G O n 3 6 7 Q 6 q d 5 y j X 3 x 9 l i 7 d f R T x 7 9 t V N k f H A j Q d f Z 1 4 4 w Q V 7 v 6 b c v S J s R 9 K S g C Y V B E O 4 A q P B M Z 6 q 1 c J b N K 2 t j a W M H v Z 0 N a f Z D z p i a U + 3 l i I o 0 m Q l S U f a q H W M A c 3 S 8 G N m z d Q Q 8 e Y b L R n v Z E H s w N h m I 1 + 9 G Z A c B V e S N h o C m 3 N m q c T U s X Y N z 4 c o I c 8 t L q 6 v h i q 7 b L L 9 E H l M v / o 4 w / E 0 4 d B 4 J i 4 / 7 h W c 5 e X 9 G q q 9 D + c u y p / I 4 W x U P N N 4 Y 0 T l I H h B Q T S V K D K i O e M C R D t t A B s N q g 6 6 A Y E T o k b 4 k Z x I a p J o Z / j c + C C 4 e L y 5 a u y 0 M H Q 0 9 M j A d V I g Y 2 0 S s + L 2 7 j K G x 4 A c v O 1 w j / c s H F R B m / V / u v s i 3 h q m 4 o 8 g B 0 K j 7 u 1 E n M 1 T R C 9 8 g a Y u E B Y Z Z W V 0 h V o K d I Q W Q w P 2 Z b q G t W 6 C k F V n 5 j Q + l W Y p f y x E 0 f o X / z 9 Z 1 T 2 i z 3 0 2 Y N U + s / / 8 k / 0 V 8 L D W j 1 Y / r p U 4 G B 4 K 7 1 8 e 8 p d l B r v P S 2 4 V j H 7 F u X a 4 N S o 7 z F z b O O i Y K G u X b 3 O x D Y h m d Q g T B B d q C J C B R j 6 s I 9 Q t B g I 2 G D X r 9 + i g 2 y P R Y o X r O J g q i I I H N n W n V M Z i 8 H f w 6 t d i x X J Z u D Z K 4 1 x 5 H z N t v n W n F 6 2 N T V n j L H G K F S n 1 U i Q O H R R b F l g f m G e Y m y + l b s o Y N y y c R t d u X 5 Z q q E j I Q 7 U z M n Y o e + B o N 6 4 h A o H t R 0 2 G e G C w B / U I 5 R / T 7 B U Q n o M i A I u c s X F 1 Q 3 A e 8 + f u y i G L d K R j h 4 7 K B F 5 D E H D 5 / A 6 J B o 8 Z E b b w I y / / + 0 1 6 h z 3 b W F l R n t 7 J 2 3 f v k V / F B n w 3 V A n 8 b u g 4 q R 7 O q g 0 6 q m 8 d r 3 F X 3 0 b n Y k S g x w b 5 H U T E 1 A 3 6 q 0 k b n x R t 3 i t D D z r p V G x Y Q 9 d v n R F 7 v 9 q 6 h / k 7 + n v z r E W 0 i 8 t C d A O Y N o 1 w a q h d Q F i M C A 5 G J 3 k C t P c t J k 1 g A j M 5 p f G W 0 l Q E 2 N D d O b U W U p K S a K G h i Z Z U P T 8 f v q 0 T n + H P x C L O X P m H B 0 / c V R U J Q C 2 y L f f n F n c E D d v 3 B Y b A I H g f / j y t 5 K i h L H / T 5 / V S R c i t C 7 G G M 5 d B 4 7 S j Z t 3 6 Y r e O t k K a H C y 1 D b J n R 1 d E s h E 7 A X n C r d 3 R U U Z 2 f v O 0 p y B Y M C V c b v b F v t a + w a a Y e w A t H b j Z v G w 9 f f 2 0 v o 8 / 0 z v p e J p X 4 L E z t A n b / P E H 4 r z B T V S s U k F f C 3 K W d 0 + K Y 6 Y z n a t A W i k x I y I C C b t Y 6 R p Z f b r 4 U J W 5 / R W q n x j A + 2 0 p 2 y e V b x M I Z T 0 j H R p n g / n g 3 I T b 9 + x n f V w T U 1 y u l x 0 h Y n j p E V 6 E l S z r 7 4 6 J c V y m z a v D 3 u s 5 d m z l 2 j P n h 0 B x 8 N A y q G G K B y v Y X t 7 O 9 l Y R U X Z O 7 r G H j p 8 k G p 7 k 1 m 1 9 b W f U I I O V f b 5 p H X e 4 p t E T c Y Q F e c l C z N S 6 v X 1 Z r u M 8 H l V O F T m o A v 1 s R Q T p z G m l N E r M v Q N U A F r 2 M m Y I R y J + p a f q g 2 F A B + 1 L T i p L D u a K n P c S 5 7 I E g n e S g m V n l t K L 6 Y r q b G l S 4 g J R I B A 7 C e f f i R t h T E k 7 M a N m / q 7 i X r 5 w i t i g v 2 D C D w 8 e g j i I q C 7 f s N a O n L k g A R 2 w 8 H Y 2 D j F x 8 X S v D s w Z 0 M O G g K r 4 e B 5 X T 3 N T G u l D V u 2 b h b b z E x M A E o e z C P + F d I S P J L 3 F 2 4 / i Z f F i 9 F s c s 7 O + N i q r 5 K Y A G S x R M V 6 N 3 l v j J a P C C J + / r x e J s 6 v Y 2 I y S u 1 w g I x 7 E N N / b f q Q f v F / / D 8 y g Q N d q 9 4 E 3 k q C U u i 1 e S U K 4 j Z q 6 j s k F N S 2 0 8 z t k c e G 5 F Q s A t 7 j G H d I i y v Y T I 3 1 T b w p 5 q h K r 6 N C 4 m U 4 u H X z F q 1 b v 5 a u X / U S r R E T k 9 q I T k w a B J F 2 s A q H D H U j u r t 7 h I D Q g w E j R O E C h 4 q J p v 2 B s L q q k n / D L B 2 r d o q a A u J R t 9 1 l L 5 d E u x Q M O 5 O p i 6 U r M G I a R / o q M D W F 4 l B v h k V y S o a o u L d r W 8 V p 4 4 l O F a l y q T F 8 y a J G z w B H W / 6 K 1 q e v o g 2 F c y E n D 7 4 q v J U q n x k l M Q 1 U V p y n p a f w u i a h G w + K 2 t I z x K g H 0 F 2 1 k G 2 R 8 2 c v s i T T M p C v X r 1 B p a U l 4 n p G R v a W z Z t M K h p + u u 9 G g U v b x R Y t K k q R X q Q c H g D q j k A k a I 6 I d l 9 Q S 0 D k K F N A w u y 9 O / d p m o 1 p j F h B s i o + C 3 c 9 s q f h Z B k Z H q W S E v 8 y c i N w f B T q B Z q U g e H a N 1 t f X d w p G O B t 3 J Y 3 J D 3 F L 9 b H k Z s v 1 6 t q m I C r e p g Z x y W L D B F 8 7 7 4 K V 8 j s E T N g A R g D 0 8 C W V X M y t g b Y V u y i B 5 2 B 7 e J X g b d a Q i l M x J S L G x t l 1 U i m h L s Z p d Z o d K 8 A a R F n t 8 u g M A W 0 q 8 J m R v F b P m 9 4 f 3 v H / J j o / v 1 a + Q w 8 e K o F M g g H J Q 1 I 3 M z N z R V i A i C l W l p a 5 L x i o q M l i w E x l B 9 8 / o n Y X p g 7 p U o R b t 2 4 T U n J o Z 0 Y S P R F Y x V 4 E T G z a Q x t k A 2 q 6 p s i J g D O i f G J K a m C n W N e t r f c R U e q v X l 8 L w P 0 v r A z A V g V W K I 9 c q T E B J i J C Q A x F b D U 2 s 8 E m p 3 8 + m X H s i A o h z O W h i e 1 r A F I H / R A u H z x q n j K z M j K 8 i b W w n O k Y k m h S u O R Y I t 0 n 2 3 b N s t j 1 A N 1 d / V K R X B n Z 6 c c C x 1 d j R I L 7 v s 9 e 3 a T a 8 4 l w e Z A g J Q q Y C l p j w 2 P O y L o W V p a T M e P H 2 F p r H k 6 g W c 9 b 8 Y O M O L Z e J k E Z Y G Y 6 H k 6 9 M s j f A 3 k 4 U s B 4 1 S R F I y q Z T P 0 P N m X B m q i U u M 9 1 D 8 e 5 d e 8 5 n V h W a h 8 C n Z i V W q t N v X v 0 q U r d P j w Q Z + y D X R G R d A X G x K Q 1 s Y j I + S O Y S k 1 M 0 l F h U W U Y g g Y A 5 A y F y 9 c l k l / s I U w w g V w O l 2 i / k F a h A M E k 6 F + m t t d G Q G p g 9 5 1 4 f Z d B + a Y k G P 1 3 / N 9 R P 6 N q M h y y 7 g X c 1 n F y 8 A 5 3 E A 7 q + L o X m 8 2 2 e O D x / 6 C Y R u r d g 9 0 1 c 4 M u N D R p / 5 N X L 9 l R V A K S O U H k 4 R K B C 6 u A O J 4 8 a J e M p k B X M C Z m S l K S P A u F L Q + T M 5 Q e F 7 3 X N y y Z q B B f 5 W p 7 B 6 2 E k o + j F J K A d I N 5 Q h 5 r H I a R 8 O Y 8 f R J n X g d r Y 5 h x v 3 7 D 1 j 1 1 P p o P G X p h L j K c k a g e q b M y Z u U l p 5 K X Q v r I y p j U Q C x g G i Q b f K m v H m B E P 1 n f / a n f z k 6 7 c 0 2 W A 5 o G Y r h x W F u M D 9 J 7 b N F k h z a z M + 1 D E b T k C u N u s f j p J 4 G Q J 8 D I 8 A 9 i j I w m U G L q L e 2 o 3 G + b 4 9 x A E 4 E f F a p i q j s R a d a O C t k y F d U l K T H d H Z 2 k 9 P l l G w M p m d 6 + O A R S 8 h Y q q 9 v 8 K l T A r F / / f U p G W g A p 0 Z a W s q i J M V r 8 F D i M c o 0 4 K m E 9 0 u V 9 u O 4 j 1 7 h h I j v C 7 C N 4 L F E T K j F M E z 6 4 O Z c y R o p Z w m I d Q w X U z 0 P a a j u N K 2 u 0 r y t 8 f F 2 6 h z 9 f p m O 7 f 7 9 W w s J W d W S B f w u A g 1 N M H a m 2 E K X R 3 f U m r V r q L M D K V B E 1 W t W L 8 Z l z C 2 E z Q C R n D 1 z n p x s m 4 F Z o c t p b G y M e P 8 e d c d Q W f I w N b J t l M + 2 V W 9 3 L 5 V V l F E P / 9 1 s M f D g + 1 b 1 X j W g I U B T U L 9 r e 7 G L s n S H Q b i / F T b R t o J x W Y e 0 t D R y z C z Q / a 6 l q 4 y v C l G I z W Q n L 0 H O r h B g C v i j T s 3 T B H e 1 E W v X 1 7 A U u k Z r a t Z I b Z I x y B k q 7 Q h E h E k b H 3 3 2 K X 3 2 + S d 0 8 o N j M l B A 1 E Z + H Z t g x 8 7 t L B 0 L a e e u 7 V T L k u 1 d I C Z A Z S x A W h W k u e l + p 1 0 Y V j i I Y 7 U R y d P w 2 q E p D i Y w I m M m K + X t E A h R 6 E k N 9 Q m D l d 9 V F K Z p F b E d 7 R 3 S H r i p u U X i X O g x B 6 k E p C R H z v 2 S 0 n K o p 6 d P 7 A J 4 r p A 2 B S f J h i J / V 7 E 5 i 2 N s 5 t U V D b 6 N U L 9 t Y + G 8 2 M T w + G F I 9 N 5 V 1 s W i C 1 3 n x G 7 e W + Y i 9 + y o e F 2 x V r v 3 G N q T e f m d H 4 w W z e v 0 + C 2 e Q l V O h P k d K w i x z i 7 q 6 + s X 1 3 Z W Z q Y k 0 N 6 / W y s V s o h v A Z k B A q 2 B A D f 6 0 G Q M l R b n S 5 u u y V m b p C r B 1 r K G d 5 E v N N j p T t v y t 5 k C Q e 1 t 1 Y c C j y G t n G z T X m 6 2 z p 0 8 e X w / e d q / p u t X r l B M d I y k a S W l J t I H X 3 1 K f / H X l + Q 9 x n 6 E a I 9 2 q M o p E y R z W F g Y y 4 F y W C N 7 X b 3 7 b O O O w Y X G t k H q c K 6 S N k 2 O M H s 5 r C Q o n V 4 B 0 s L B B J G t N 9 G E O x 6 I Z G r f z Z u 3 Z Y Q M V B m t e b 2 H 5 p 0 T 9 O l W a w / g q V N n 6 O O P P 6 D z / F 5 k J K x 0 4 H L j Z 4 K R V x g G J w S S y i C K r c V e K T 4 w N U B H v 9 Q y Y j 7 + q z + X v x / 8 8 u f y N z n O Q 5 P O w O I K L c l c T L y Q W q n 8 X r R c e 1 W X P A q x l t V l O e J 6 R O M Q E B V m G C E g 9 i 4 A F 9 e c Q A H P X t 1 T b R I 6 Y l 4 o + 4 h 0 B K Z j z E H n z l 6 g r 7 8 5 Q 1 1 1 l 6 m 9 9 j u q T u 4 W Z 4 U V 0 O z l n J 7 e 8 y 4 A P x O X v W n Q 1 / a p y r F O Y D b 2 p A D + 6 a k / 0 u / 5 A 1 P d A T T t N M c d A e 8 w B V 4 n J i b Y Z J C Q a P 2 t 9 o J 5 T 4 S L K H N D d u R Q Q R y u z x q W L 8 H 9 Z e R R j x j g V C o / D c z l V 7 / 8 t Z Q M Y B Y V c O P 6 b Z E c k Q D q 3 r 7 9 e 6 m y q p I q t n 9 C q 9 Y d p s p t H 9 P q 1 Z U y / A z d l 8 y I L z 4 o r v l 3 C W q r G 2 N P F d l o l K m l O Z k x a m h y m R p j X X 2 N z 0 b z D X s X n X D R S x 4 o T v d + i f p e h E 5 A O O g 1 L 2 l L / I L a 6 1 h + 9 B I 8 s t p J s T r N B 2 K G S K F S C C g X k V M G Q F q h E S N K s 0 v j u y U L G l J s J U F 5 n e q e v a D P f v C J e P A O H T 4 g z 9 E S R t 0 g F e n J k 2 f 0 5 P E T K s t y 8 7 V z 0 u Z V G r G g H K G w M J / O S i 8 6 b Z F f 8 M K P z G C c y 7 s X u r D z T z b n 7 W G / o a k L m D l q m x S e 9 / N 1 0 g s t f / H x L + W v Q t n n m o f 0 M N t N r n k b 3 W + P 9 Q n g d + o t B p T t h H 2 8 v n B u k Z l C U i K 5 V r V 3 Q 4 b 6 t p I 5 O b + j v H 4 g 0 I n G M 1 I F b I b L 8 J T Y U P r 9 R b h c T r L b f X / k Y F 8 f Z e f l M Q X r J M x Y S V 4 o j 8 d N 5 d F 1 h A 5 D A K Q F y u U X + B + a Z U Y C c L K W 9 n 6 K j Z o P m F 2 O Q C 4 S c f f s 2 c W q X u D M i n c J 2 L Q K 4 f a v g F o H S W Q E j o O 9 i b + R p E l h C N 4 M 8 z 1 M m 7 T C 6 e / O 0 o c f n Z T 7 M 3 M 2 a X m t 1 E c F P 4 J C V 1 A E I Y 2 E A 8 C W M M Z h A F D 3 x Y Z Y P m F W m z y + 7 1 + O s C 3 M k 6 v 1 G 1 Y D b D Q 1 P U M f f n h c G 4 u 5 B H x z u Z 4 + P b x G f x Q Y v 7 0 x Q A k Z w Q d Y v 0 s 4 v g Y z i B d e q i G M I i g 4 J 9 C m r W 8 8 8 u N g + + 9 h a W W 0 w Y w E p f C 0 J 5 Z 6 H N 7 j + 3 0 T S r U n J v w 7 s S p i 8 t E j m a s f X z N H J / g i L H 9 y 4 t 9 m i y E P x U i L r z X V q 6 m t t U N m P y 0 F a D E W D t 4 T k y 8 w 3 B v E g G z 0 p U J p T v D 0 L Y W Y A G x z 2 F a h t D C o h s p d X 5 r p 9 i c o N A 1 J T P Q N Y m L + j y I k T J A D M P E O x D c O t Y h f K 0 8 N 3 Z B y O a B q + 4 c y P E 3 d V l d X S t Y 6 g A z 0 7 u 7 u s J w H c Y l p N D 0 b u n N p x W t q I L L c U Z 3 r r V j e q v c u h A M h P c H A 0 F 8 D 1 u g T M 6 2 g s v 7 N Q B F j R u K C x N V 8 C G p s V C M K R T x Q 8 4 A E N t K V C o i k T b y O t l 4 j Q 0 O S W Y 3 3 2 V a I Q W 3 s w Q 3 g 9 6 G x C v q J o 4 k K W g V P T k 3 S o 0 f + w 8 C M + P k P t 9 H f / f p S y O z n u J V x 2 V 4 5 0 H A T 0 u F a c y y 1 8 k Y 9 U O k S J 8 M u V s N A Z K j q V f O X I 4 G a h W U E C E K h X k + q V i h K 8 y z a Y P E G j / j d 9 l i 5 K U z q v N P H h k J A U 2 V X g 2 g 0 G v K K X n i l 8 E j V 6 C D r W n u f T V p u v e 2 j R s J F T f 4 c l W R 4 v X u Q T K j 2 R T a 4 Y i y 1 t Y + l I t g K G A I H p 0 P D c B J l u N t p 8 4 7 d l J J g s Z K M o a k o e h B B E / z 3 0 I B l y E j w U A 6 r W 0 g 5 Q s 8 I q I k o 4 d h a 7 C L n X J S k b z U N a g 1 b X K 5 Z y k u 3 0 6 o M t x B r u E D T T O V 4 y J 6 5 R d u 2 b Z X 8 T 1 V W D 6 D h D u K 2 c I D Y H G M D C y j v R g m 3 G l g M S F P 4 V M 3 X D 5 U P L Y c b R 1 O o P G 2 K 0 l O 1 x F B 4 / j K y 0 c 0 1 R o K S K w X m z A k r n D 1 z Q R J e r f C b 7 + 7 S j z / S J u + B 4 a D S + M r l G / S D H / / Y M u U l l J 7 + H u E D X j / E o Z 4 a N I M o 5 y C V J I 9 R i 7 N C N K y l Y m Z 6 g r U 1 a y c V w k t Y 2 y h w X N h N 5 m V G T w R 4 / N D n G l 6 / Y V c a U / 7 C I j E J 2 I Z y T H t W F D E B T 8 I o N S 8 r L x F V F 5 L I j O Q o b z k 8 r i 8 a N q a m J t G X p x / r z 3 o B g l t l q 1 t U r 9 / j 5 Q A X u l n N j k 7 M p r Y 5 l N 4 s n Z i A Q M Q E Q E M D Y 4 z + i 7 / 4 s 7 / E E 2 a X O L r v J C Y l U a z d L m 5 x G F 1 m u O f n 6 G 6 P / 0 C y 5 Y 4 p Z 5 Q U w Q U D C A l 9 K N A a D K 3 C U K m L r k h g T l C N z V 2 L J i c m a W g + k 6 K m O 0 W F R P / A 2 7 f u i B p Z W F J K X W O v t x v P S g U 0 C f + d 6 Q v P Q m B 1 I 4 1 V t d w U b T K I O a Y U C M i g m A 5 g 3 i x S k X P W t x Y I c 1 U V A q k / z 0 f 9 B z i v B J S w n h 0 K a E 2 G z H F I 8 h M n j w l D 8 i x 4 6 L f / + J V I 9 v / 5 d 7 / S 3 6 k B / S Q m e 1 H + v p 4 / W 0 j F x U U S 0 y g r L 6 W k O D 9 n q x + C l S a 8 y 1 C Z D k s F A r R p 8 W 6 q Y A a q P I r w 9 C X Z r T U G p O Z Z N Z Z R W F w m q H V o t z X Q 1 0 v T 0 1 M + A 4 m t g A H F K z E z P Y U 5 V g 3 r 4 a G A o Q T o b 7 5 + w z p 5 j G I 3 N O W M G z 9 D a e l p 0 h 5 a A R 7 R j z / 9 k B K z y 8 X x g 7 4 U Z o 0 g F H B e W 4 p C u + H f I z L s r Z i j w n Q P F e g p T n B y l G a 5 y e U O v D 7 B a g f l U 9 D j g f j 4 B M r N L 5 A 4 F E q L A Z V v Z k a 4 4 n G 5 I V D a i R m I w 6 H 4 0 F z f 9 P E f / 7 X 0 g v j 5 H / + h P I Y a e P f u A / r m d 6 d o 1 5 p k + u r 0 T T 9 7 a T w E Y 0 L p w s 7 S O c p N f U l 2 / B 5 U k + c m N Y g t y b 4 Q c H R Q o G Y x q j h R d / b 6 Q Q h q i h f d D H x g w u F Y b N P l s j C + V y L C V q 0 C X F G b H m a A 5 x R z o O C U O H b 8 M P 3 4 J 5 + T a 3 K E P j 6 + 0 6 / U P j V I s B I l 3 x j W r L 4 t 0 E K + R 2 h A p S v J n J d R o b h f 8 R J F t U j g x T H M i J r j h T e q d 5 B I Q 4 O D r L Z k U I q h B s i u j 4 g B 4 E Z f i U C 2 M b K c w 0 G s P X A s A 0 4 K O B 0 w 0 r S + s V X U P K C h o V G G x 0 E 9 N A L q s x V Q 1 7 N L M p 6 1 c 0 K j S 1 2 Z e I 8 I s c Z C j S 8 I 0 i s e x F J k k V k e i p 8 F y D Z 3 B W 3 Y C K z E 2 M n s 1 B h t z R + R / n r V 1 V X 6 s 1 4 Y u 8 + i p z m k B U b a G H H x 0 k 1 a s 3 Y t F e a l y 2 O o 0 5 g y o R U o 2 q S k Y / s O r d c e D O q r T X a f e U w K V t w P Q 9 f e 5 J y o l Y C j a 5 z U P B g t q t 5 S M D Y y Q j 2 u X B l l m p G o q d 5 G o N 4 K O X 8 K l g S F / D x M + g 6 G l R m M X B B R D i I A U z E C r u 5 7 d + 6 x / b N A t i g b S 5 k E 6 U O B Z p i P H j 6 h 0 v I S K Z l H O z A M M z B C x a r g U g f g o r 3 c G E f z A R g k 6 s 3 g T T L j f Q A 4 c o A x Y Y M v V V N W t I A s j E B 1 g M Z 1 i V I b Z 2 L c Q e N 8 A 4 I R E 1 T C R q b 4 l Q k b T b k 0 D 5 w 2 Y z e e b n W k y l 8 0 / T 9 + 8 h i d / P C 4 2 E B o / f X F T 3 4 o 0 z 1 + / s f / l G b 5 O X j 8 F D G t / + 9 b 2 b D V u B l 6 U i j H D 3 C v P T Y g M Q E v k 2 n 9 H l 4 c Z V s J e J m r i V A I E G 5 R b R R U O x B J S m o a p f I t F G B k D 0 2 u V I I i u t H i q + p i + L E Z S N P C d c O 1 U L 3 P t + / c K o 0 q F U 5 9 8 T u K j d Z U x A U 3 O s N q x 0 F 1 M P o Y R I q l f O Z d x p q 8 e c n D e 1 n E h J F d A S m Y o N u 5 s k r m 9 B m z u q O A N C R w b 1 W n v 1 K x l P 7 a i E F l Z m X Q v b s P 5 H F J i r f O q a W t T S Q c S q X D C U R a e f J Q 0 h 0 K 7 3 L w F / 0 h S j O 0 4 C x u q E 1 6 F U A i e D g 4 u N p F O 0 r m N J X P 3 A U V x v f U l L 8 r H W U c 5 + p W / q p Z D Q E z I j H R t 7 G N A l R D o K t T G 7 Q M I O Y 0 O 6 3 N V D I 2 8 w g G 9 D A w I 5 i K q A j p V Y 2 B W U 6 I Z 8 m A L r L o W G T l y X t Z q P q / c J C Z 5 E E F h v 8 q Q 5 V B k B e 9 5 M Y d Y / q z R A + 7 7 O S x h e a U y x 0 Q I m r Y g B l X L l + j j V u 0 W b D A 3 / y 5 b 7 O Q b d u 3 0 s z s L L / v u o w r v X j + M h 0 z T A h B y 6 p g Q J q X P o t 7 E U i P C Y Z 3 k Z C A 5 P g F O s S S Y S m d Y F G 6 H g 5 y 8 v w H S Q T D I k E t m K L 3 e N 5 m i 6 K 7 v V n i x c B t q T X + y x H G l l V G Q H X L z P A O d f v f / t P v 6 / d Y P Z i b o 9 / 8 + n d U V V V J h w 7 v l 8 E A L j 0 G p Q C n R z B Y q Y T f x 6 C 1 5 Y B 9 I Z h T M K B 0 P R y Y 6 S I U F l c X 5 e z G N K N L D V o 6 u n v h 3 V z M m C h r r o f u S I F w 7 e p N + s l P f y g S X q F m 3 R o f D 9 / g R O R M a S Q A c b / L g K r 3 J o A U s 0 j g s 1 K Q S i A q E B I a Q L 7 L Q C W t F V 4 8 b 9 T v E Y 1 P T C w S y 7 m z F 2 n / g T 1 y 3 w i M E U U p D I B Z t e E 0 D b l l C B S + b D b 1 S s W s R T D 8 V S D + w V b 6 9 w d / o z 8 i S k 3 X A v T h w m 9 1 L z b 6 O i j e w x e V q y t k 6 g P Q 3 N R M z c 0 t M l J 0 0 + Y N f t k l Y E 6 Y 4 L F A 0 c K k 1 K z a U B i f t S 2 q 2 a o J 5 3 v 4 A i X v q u n l q 0 J 3 / S j 9 i z / 6 c 5 o a 8 6 q S k T g l A F t / X 8 c C T i t O b 0 D x K u e n L n d Y l c L X P s S E w h h q b G y m H 3 / x u f 6 s N Z D T V 1 C Q T 4 9 q H 9 N A / M 5 3 s j P s 6 w I 8 m 2 j X H G 7 u Z b i Y G n V S Y r o W Y z Q D H t t Q Z T f i l F D E J H i 3 N T 0 f o E W y G b j Q G z a u 9 y E m g 4 n k A x Q h N r E U q 1 q / / T 0 x v W L A s / k 6 G H 9 S R t w i M Z m P P z U Z e N K / g m R K A N P T W t w p 0 O Z 4 F 9 E 1 F k 0 O x w T 9 w 5 e / F e 4 0 N T 2 9 2 P N d I W X m A i 0 8 2 E L d X 2 p 1 U b C p 0 J Q F A L O q q V n j N 2 H i P V 4 N H g e Y + v 6 q I N q a g R 7 i 4 k K 3 z F 6 U X 4 m J y a K z v 4 c v b n a m 0 + c / / E T 6 n A 8 N D v l N h g f + M f 8 o / Z f / 8 N c 0 P e G k a 9 d u S u I s J i I C m N 7 + P k P 8 9 W D C 6 Z 2 c 8 j q w q W i e e s a 8 a 4 c k C D D W m e k p Q t k T P I C T E x M S L o G 9 D A m 2 m G 3 e O h w d M J j 5 r g O T R w J V d v 6 0 / 2 f U 7 x 6 g q A U b / S b x V x Q f F y f p R / v 2 7 x E 1 D 8 P W 3 u P 1 I d j a v C x w V G U B Q V L N z 7 m k a V E w C E G 9 l 0 y h Y V W f Z A V 4 / T B G F M b r + + v 6 + l G V 4 3 7 l 7 a x B P M o n 0 e O I l h E 2 w 1 M 2 S o 6 Z X S z B C Y S o g X c o + + F l M B V m S U V l J Z o p R k n M 6 T 1 e P 9 A Z d q l 4 x D Y Y m J 6 5 j x + I C W 2 W k T + Z q H c / y k p a o N m Z 0 J X q t i 9 v j b 8 e e b n C k G x f o H 2 V 4 a W 6 o E K 0 e e i 9 + v y m E K 7 2 g N K c U L V m G I 0 L l z x s M 3 P I B J P n E T I J h v f i K U w U h 1 k O g P 4 Q 7 4 n p 7 Q I k B i R R O I W b 5 / U u y C A m T E J 0 G b T J c P L 6 3 k u o M I G p D R j V r 4 A + E N 1 j U T T L F 3 x 4 M j p k R v h 7 v B 4 c 4 T U x l 8 V A 3 U Z W y m J s l n d 4 J J u 8 O M N N 1 b l u u t h g l 2 k f q f r Q N T Q n Q k P Y 9 M z A 3 Z L f E 1 S E w H Q 9 9 w q Y 1 r i S g E k p e a n a 7 G f z v N 6 l Q E 3 c g J S C 6 q d U S v R Y T E 5 O l o L c Q M 6 J 9 y p f h H h P T G 8 f O k a j 6 G 6 7 / Z U Q E 6 C a u G J E D S Z q Y B I i 4 J z R C k V B T L C n z F j w e O h / A a O S 6 f + W 2 c v 5 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 G u i d = " f e 0 d 8 5 e 0 - e d 8 6 - 4 4 e f - b 6 2 0 - 5 3 e 4 7 1 4 e 0 2 c 3 "   R e v = " 2 8 "   R e v G u i d = " e 6 c 3 4 2 e 4 - a b e e - 4 c 2 1 - 8 3 4 6 - 3 4 2 5 f b c a 5 7 9 8 "   V i s i b l e = " t r u e "   I n s t O n l y = " f a l s e " & g t ; & l t ; G e o V i s   V i s i b l e = " t r u e "   L a y e r C o l o r S e t = " f a l s e "   R e g i o n S h a d i n g M o d e S e t = " f a l s e "   R e g i o n S h a d i n g M o d e = " G l o b a l "   T T T e m p l a t e = " B a s i c "   V i s u a l T y p e = " P i e C h a r t "   N u l l s = " f a l s e "   Z e r o s = " t r u e "   N e g a t i v e s = " t r u e "   H e a t M a p B l e n d M o d e = " A d d "   V i s u a l S h a p e = " S q u a r e " 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e x & g t ; 1 & l t ; / C o l o r I n d e x & g t ; & l t ; C o l o r I n d e x & g t ; 2 & l t ; / C o l o r I n d e x & g t ; & l t ; C o l o r I n d e x & g t ; 3 & l t ; / C o l o r I n d e x & g t ; & l t ; C o l o r I n d e x & g t ; 4 & l t ; / C o l o r I n d e x & g t ; & l t ; C o l o r I n d e x & g t ; 9 & l t ; / C o l o r I n d e x & g t ; & l t ; C o l o r I n d e x & g t ; 1 0 & l t ; / C o l o r I n d e x & g t ; & l t ; C o l o r I n d e x & g t ; 1 1 & l t ; / C o l o r I n d e x & g t ; & l t ; C o l o r I n d e x & g t ; 1 2 & l t ; / C o l o r I n d e x & g t ; & l t ; C o l o r I n d e x & g t ; 1 3 & l t ; / C o l o r I n d e x & g t ; & l t ; C o l o r I n d e x & g t ; 1 4 & l t ; / C o l o r I n d e x & g t ; & l t ; C o l o r I n d e x & g t ; 1 6 & l t ; / C o l o r I n d e x & g t ; & l t ; C o l o r I n d e x & g t ; 1 7 & l t ; / C o l o r I n d e x & g t ; & l t ; C o l o r I n d e x & g t ; 1 9 & l t ; / C o l o r I n d e x & g t ; & l t ; C o l o r I n d e x & g t ; 2 0 & l t ; / C o l o r I n d e x & g t ; & l t ; C o l o r I n d e x & g t ; 2 1 & l t ; / C o l o r I n d e x & g t ; & l t ; C o l o r I n d e x & g t ; 2 2 & l t ; / C o l o r I n d e x & g t ; & l t ; C o l o r I n d e x & g t ; 2 3 & l t ; / C o l o r I n d e x & g t ; & l t ; C o l o r I n d e x & g t ; 2 4 & l t ; / C o l o r I n d e x & g t ; & l t ; C o l o r I n d e x & g t ; 2 5 & l t ; / C o l o r I n d e x & g t ; & l t ; C o l o r I n d e x & g t ; 2 6 & l t ; / C o l o r I n d e x & g t ; & l t ; C o l o r I n d e x & g t ; 2 7 & l t ; / C o l o r I n d e x & g t ; & l t ; / C o l o r I n d i c e s & g t ; & l t ; G e o F i e l d W e l l D e f i n i t i o n   T i m e C h u n k = " N o n e "   A c c u m u l a t e = " f a l s e "   D e c a y = " N o n e "   D e c a y T i m e I s N u l l = " t r u e "   D e c a y T i m e T i c k s = " 0 "   V M T i m e A c c u m u l a t e = " f a l s e "   V M T i m e P e r s i s t = " f a l s e "   U s e r N o t M a p B y = " t r u e "   S e l T i m e S t g = " N o n e "   C h o o s i n g G e o F i e l d s = " f a l s e " & g t ; & l t ; G e o E n t i t y   N a m e = " G e o E n t i t y "   V i s i b l e = " f a l s e " & g t ; & l t ; G e o C o l u m n s & g t ; & l t ; G e o C o l u m n   N a m e = " R e c i p i e n t   C o u n t r y "   V i s i b l e = " t r u e "   D a t a T y p e = " S t r i n g "   M o d e l Q u e r y N a m e = " ' T a b l e 1 ' [ R e c i p i e n t   C o u n t r y ] " & g t ; & l t ; T a b l e   M o d e l N a m e = " T a b l e 1 "   N a m e I n S o u r c e = " T a b l e 1 "   V i s i b l e = " t r u e "   L a s t R e f r e s h = " 0 0 0 1 - 0 1 - 0 1 T 0 0 : 0 0 : 0 0 "   / & g t ; & l t ; / G e o C o l u m n & g t ; & l t ; / G e o C o l u m n s & g t ; & l t ; C o u n t r y   N a m e = " R e c i p i e n t   C o u n t r y "   V i s i b l e = " t r u e "   D a t a T y p e = " S t r i n g "   M o d e l Q u e r y N a m e = " ' T a b l e 1 ' [ R e c i p i e n t   C o u n t r y ] " & g t ; & l t ; T a b l e   M o d e l N a m e = " T a b l e 1 "   N a m e I n S o u r c e = " T a b l e 1 "   V i s i b l e = " t r u e "   L a s t R e f r e s h = " 0 0 0 1 - 0 1 - 0 1 T 0 0 : 0 0 : 0 0 "   / & g t ; & l t ; / C o u n t r y & g t ; & l t ; / G e o E n t i t y & g t ; & l t ; M e a s u r e s & g t ; & l t ; M e a s u r e   N a m e = " A m o u n t   ( i n   U S D ) "   V i s i b l e = " t r u e "   D a t a T y p e = " D o u b l e "   M o d e l Q u e r y N a m e = " ' T a b l e 1 ' [ A m o u n t   ( i n   U S D ) ] " & g t ; & l t ; T a b l e   M o d e l N a m e = " T a b l e 1 "   N a m e I n S o u r c e = " T a b l e 1 "   V i s i b l e = " t r u e "   L a s t R e f r e s h = " 0 0 0 1 - 0 1 - 0 1 T 0 0 : 0 0 : 0 0 "   / & g t ; & l t ; / M e a s u r e & g t ; & l t ; / M e a s u r e s & g t ; & l t ; M e a s u r e A F s & g t ; & l t ; A g g r e g a t i o n F u n c t i o n & g t ; S u m & l t ; / A g g r e g a t i o n F u n c t i o n & g t ; & l t ; / M e a s u r e A F s & g t ; & l t ; C a t e g o r y   N a m e = " C o u n t r y "   V i s i b l e = " t r u e "   D a t a T y p e = " S t r i n g "   M o d e l Q u e r y N a m e = " ' T a b l e 1 ' [ C o u n t r y ] " & g t ; & l t ; T a b l e   M o d e l N a m e = " T a b l e 1 "   N a m e I n S o u r c e = " T a b l e 1 "   V i s i b l e = " t r u e "   L a s t R e f r e s h = " 0 0 0 1 - 0 1 - 0 1 T 0 0 : 0 0 : 0 0 "   / & g t ; & l t ; / C a t e g o r y & g t ; & l t ; C o l o r A F & g t ; N o n e & l t ; / C o l o r A F & g t ; & l t ; C h o s e n F i e l d s   / & g t ; & l t ; C h u n k B y & g t ; N o n e & l t ; / C h u n k B y & g t ; & l t ; C h o s e n G e o M a p p i n g s & g t ; & l t ; G e o M a p p i n g T y p e & g t ; C o u n t r y & l t ; / G e o M a p p i n g T y p e & g t ; & l t ; / C h o s e n G e o M a p p i n g s & g t ; & l t ; F i l t e r & g t ; & l t ; F C s & g t ; & l t ; A O F C   A F = " N o n e "   O p = " A n d " & g t ; & l t ; M e a s u r e   N a m e = " A p p r o v a l   D a t e "   V i s i b l e = " t r u e "   D a t a T y p e = " D a t e T i m e "   M o d e l Q u e r y N a m e = " ' T a b l e 1 ' [ A p p r o v a l   D a t e ] " & g t ; & l t ; T a b l e   M o d e l N a m e = " T a b l e 1 "   N a m e I n S o u r c e = " T a b l e 1 "   V i s i b l e = " t r u e "   L a s t R e f r e s h = " 0 0 0 1 - 0 1 - 0 1 T 0 0 : 0 0 : 0 0 "   / & g t ; & l t ; / M e a s u r e & g t ; & l t ; F i r s t D T   O p = " I s A f t e r "   N u l l = " f a l s e "   V a l = " 2 0 0 7 - 0 1 - 0 1 T 0 0 : 0 0 : 0 0 "   / & g t ; & l t ; S e c o n d D T   O p = " I s B e f o r e "   N u l l = " f a l s e "   V a l = " 2 0 1 7 - 0 1 - 0 1 T 0 0 : 0 0 : 0 0 "   / & g t ; & l t ; / A O F C & g t ; & l t ; C F C S t r   A F = " N o n e "   A l l S p e c i f i e d = " t r u e "   B l a n k S p e c i f i e d = " f a l s e " & g t ; & l t ; M e a s u r e   N a m e = " C o u n t r y "   V i s i b l e = " t r u e "   D a t a T y p e = " S t r i n g "   M o d e l Q u e r y N a m e = " ' T a b l e 1 ' [ C o u n t r y ] " & g t ; & l t ; T a b l e   M o d e l N a m e = " T a b l e 1 "   N a m e I n S o u r c e = " T a b l e 1 "   V i s i b l e = " t r u e "   L a s t R e f r e s h = " 0 0 0 1 - 0 1 - 0 1 T 0 0 : 0 0 : 0 0 "   / & g t ; & l t ; / M e a s u r e & g t ; & l t ; I s & g t ; & l t ; I & g t ; C h i n a   ( c o m m e r c i a l ) & l t ; / I & g t ; & l t ; I & g t ; C h i n a   T B D & l t ; / I & g t ; & l t ; / I s & g t ; & l t ; / C F C S t r & g t ; & l t ; C F C S t r   A F = " N o n e "   A l l S p e c i f i e d = " t r u e "   B l a n k S p e c i f i e d = " f a l s e " & g t ; & l t ; M e a s u r e   N a m e = " S e c t o r   G r o u p "   V i s i b l e = " t r u e "   D a t a T y p e = " S t r i n g "   M o d e l Q u e r y N a m e = " ' T a b l e 1 ' [ S e c t o r   G r o u p ] " & g t ; & l t ; T a b l e   M o d e l N a m e = " T a b l e 1 "   N a m e I n S o u r c e = " T a b l e 1 "   V i s i b l e = " t r u e "   L a s t R e f r e s h = " 0 0 0 1 - 0 1 - 0 1 T 0 0 : 0 0 : 0 0 "   / & g t ; & l t ; / M e a s u r e & g t ; & l t ; I s & g t ; & l t ; I & g t ; R e n e w a b l e   E n e r g y & l t ; / I & g t ; & l t ; / I s & g t ; & l t ; / C F C S t r & g t ; & l t ; / F C s & g t ; & l t ; / F i l t e r & g t ; & l t ; / G e o F i e l d W e l l D e f i n i t i o n & g t ; & l t ; P r o p e r t i e s 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g t ; & l t ; D e c o r a t o r & g t ; & l t ; X & g t ; 6 0 & l t ; / X & g t ; & l t ; Y & g t ; 3 2 & l t ; / Y & g t ; & l t ; D i s t a n c e T o N e a r e s t C o r n e r X & g t ; 6 0 & l t ; / D i s t a n c e T o N e a r e s t C o r n e r X & g t ; & l t ; D i s t a n c e T o N e a r e s t C o r n e r Y & g t ; 3 2 & l t ; / D i s t a n c e T o N e a r e s t C o r n e r Y & g t ; & l t ; Z O r d e r & g t ; 0 & l t ; / Z O r d e r & g t ; & l t ; W i d t h & g t ; 4 0 0 & l t ; / W i d t h & g t ; & l t ; H e i g h t & g t ; 2 5 0 & l t ; / H e i g h t & g t ; & l t ; A c t u a l W i d t h & g t ; 4 0 0 & l t ; / A c t u a l W i d t h & g t ; & l t ; A c t u a l H e i g h t & g t ; 2 5 0 & l t ; / A c t u a l H e i g h t & g t ; & l t ; I s V i s i b l e & g t ; t r u e & l t ; / I s V i s i b l e & g t ; & l t ; S e t F o c u s O n L o a d V i e w & g t ; f a l s e & l t ; / S e t F o c u s O n L o a d V i e w & g t ; & l t ; L e g e n d   D i s p l a y L e g e n d T i t l e = " t r u e " & g t ; & l t ; B a c k g r o u n d C o l o r & g t ; & l t ; R & g t ; 1 & l t ; / R & g t ; & l t ; G & g t ; 1 & l t ; / G & g t ; & l t ; B & g t ; 1 & l t ; / B & g t ; & l t ; A & g t ; 0 . 9 0 1 9 6 0 8 & l t ; / A & g t ; & l t ; / B a c k g r o u n d C o l o r & g t ; & l t ; L a y e r F o r m a t & g t ; & l t ; F o r m a t T y p e & g t ; S t a t i c & l t ; / F o r m a t T y p e & g t ; & l t ; F o n t S i z e & g t ; 1 8 & l t ; / F o n t S i z e & g t ; & l t ; F o n t F a m i l y & g t ; S e g o e   U I & l t ; / F o n t F a m i l y & g t ; & l t ; F o n t S t y l e & g t ; N o r m a l & l t ; / F o n t S t y l e & g t ; & l t ; F o n t W e i g h t & g t ; N o r m a l & l t ; / F o n t W e i g h t & g t ; & l t ; I s A u t o m a t i c C o l o r & g t ; f a l s e & l t ; / I s A u t o m a t i c C o l o r & g t ; & l t ; A u t o m a t i c C o l o r & g t ; & l t ; A & g t ; 2 5 5 & l t ; / A & g t ; & l t ; R & g t ; 0 & l t ; / R & g t ; & l t ; G & g t ; 0 & l t ; / G & g t ; & l t ; B & g t ; 0 & l t ; / B & g t ; & l t ; S c A & g t ; 1 & l t ; / S c A & g t ; & l t ; S c R & g t ; 0 & l t ; / S c R & g t ; & l t ; S c G & g t ; 0 & l t ; / S c G & g t ; & l t ; S c B & g t ; 0 & l t ; / S c B & g t ; & l t ; / A u t o m a t i c C o l o r & g t ; & l t ; C o l o r & g t ; & l t ; A & g t ; 2 5 5 & l t ; / A & g t ; & l t ; R & g t ; 0 & l t ; / R & g t ; & l t ; G & g t ; 0 & l t ; / G & g t ; & l t ; B & g t ; 0 & l t ; / B & g t ; & l t ; S c A & g t ; 1 & l t ; / S c A & g t ; & l t ; S c R & g t ; 0 & l t ; / S c R & g t ; & l t ; S c G & g t ; 0 & l t ; / S c G & g t ; & l t ; S c B & g t ; 0 & l t ; / S c B & g t ; & l t ; / C o l o r & g t ; & l t ; / L a y e r F o r m a t & g t ; & l t ; C a t e g o r y F o r m a t & g t ; & l t ; F o r m a t T y p e & g t ; S t a t i c & l t ; / F o r m a t T y p e & g t ; & l t ; F o n t S i z e & g t ; 1 6 & l t ; / F o n t S i z e & g t ; & l t ; F o n t F a m i l y & g t ; S e g o e   U I & l t ; / F o n t F a m i l y & g t ; & l t ; F o n t S t y l e & g t ; N o r m a l & l t ; / F o n t S t y l e & g t ; & l t ; F o n t W e i g h t & g t ; N o r m a l & l t ; / F o n t W e i g h t & g t ; & l t ; I s A u t o m a t i c C o l o r & g t ; f a l s e & l t ; / I s A u t o m a t i c C o l o r & g t ; & l t ; A u t o m a t i c C o l o r & g t ; & l t ; A & g t ; 2 5 5 & l t ; / A & g t ; & l t ; R & g t ; 0 & l t ; / R & g t ; & l t ; G & g t ; 0 & l t ; / G & g t ; & l t ; B & g t ; 0 & l t ; / B & g t ; & l t ; S c A & g t ; 1 & l t ; / S c A & g t ; & l t ; S c R & g t ; 0 & l t ; / S c R & g t ; & l t ; S c G & g t ; 0 & l t ; / S c G & g t ; & l t ; S c B & g t ; 0 & l t ; / S c B & g t ; & l t ; / A u t o m a t i c C o l o r & g t ; & l t ; C o l o r & g t ; & l t ; A & g t ; 2 5 5 & l t ; / A & g t ; & l t ; R & g t ; 0 & l t ; / R & g t ; & l t ; G & g t ; 0 & l t ; / G & g t ; & l t ; B & g t ; 0 & l t ; / B & g t ; & l t ; S c A & g t ; 1 & l t ; / S c A & g t ; & l t ; S c R & g t ; 0 & l t ; / S c R & g t ; & l t ; S c G & g t ; 0 & l t ; / S c G & g t ; & l t ; S c B & g t ; 0 & l t ; / S c B & g t ; & l t ; / C o l o r & g t ; & l t ; / C a t e g o r y F o r m a t & g t ; & l t ; M i n M a x F o n t S i z e & g t ; 1 2 & l t ; / M i n M a x F o n t S i z e & g t ; & l t ; S w a t c h S i z e & g t ; 1 6 & l t ; / S w a t c h S i z e & g t ; & l t ; G r a d i e n t S w a t c h S i z e & g t ; 1 2 & l t ; / G r a d i e n t S w a t c h S i z e & g t ; & l t ; L a y e r I d & g t ; f e 0 d 8 5 e 0 - e d 8 6 - 4 4 e f - b 6 2 0 - 5 3 e 4 7 1 4 e 0 2 c 3 & l t ; / L a y e r I d & g t ; & l t ; R a w H e a t M a p M i n & g t ; 0 & l t ; / R a w H e a t M a p M i n & g t ; & l t ; R a w H e a t M a p M a x & g t ; 0 & l t ; / R a w H e a t M a p M a x & g t ; & l t ; M i n i m u m & g t ; 0 & l t ; / M i n i m u m & g t ; & l t ; M a x i m u m & g t ; 8 1 6 8 5 3 5 3 0 5 . 9 6 6 2 6 0 9 & l t ; / M a x i m u m & g t ; & l t ; / L e g e n d & g t ; & l t ; D o c k & g t ; T o p L e f t & l t ; / D o c k & g t ; & l t ; / D e c o r a t o r & g t ; & l t ; / D e c o r a t o r s & g t ; & l t ; / S e r i a l i z e d L a y e r M a n a g e r & g t ; < / L a y e r s C o n t e n t > < / S c e n e > < / S c e n e s > < / T o u r > 
</file>

<file path=customXml/itemProps1.xml><?xml version="1.0" encoding="utf-8"?>
<ds:datastoreItem xmlns:ds="http://schemas.openxmlformats.org/officeDocument/2006/customXml" ds:itemID="{2413181E-719A-4591-B8FB-F98BBB741589}">
  <ds:schemaRefs>
    <ds:schemaRef ds:uri="http://www.w3.org/2001/XMLSchema"/>
    <ds:schemaRef ds:uri="http://microsoft.data.visualization.Client.Excel.LState/1.0"/>
  </ds:schemaRefs>
</ds:datastoreItem>
</file>

<file path=customXml/itemProps2.xml><?xml version="1.0" encoding="utf-8"?>
<ds:datastoreItem xmlns:ds="http://schemas.openxmlformats.org/officeDocument/2006/customXml" ds:itemID="{31F8E6D4-74FA-4272-B056-7256BC7D7EC4}">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AE95D5FB-C458-4D2F-9E8A-CD9E6335D1DE}">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Interactive Project Filter</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Lyn Chirichigno</dc:creator>
  <cp:lastModifiedBy>Han</cp:lastModifiedBy>
  <cp:lastPrinted>2017-04-10T17:29:50Z</cp:lastPrinted>
  <dcterms:created xsi:type="dcterms:W3CDTF">2016-12-12T19:01:08Z</dcterms:created>
  <dcterms:modified xsi:type="dcterms:W3CDTF">2017-07-17T18:36:56Z</dcterms:modified>
</cp:coreProperties>
</file>